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um se completeaza" sheetId="1" state="visible" r:id="rId3"/>
    <sheet name="Ipoteze" sheetId="2" state="visible" r:id="rId4"/>
    <sheet name="Previziune profit" sheetId="3" state="visible" r:id="rId5"/>
    <sheet name="Previziune trezorerie" sheetId="4" state="visible" r:id="rId6"/>
    <sheet name="Scenarii"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<sst xmlns="http://schemas.openxmlformats.org/spreadsheetml/2006/main" count="146" uniqueCount="133">
  <si>
    <t xml:space="preserve">Previziuni financiare — instructiuni simple</t>
  </si>
  <si>
    <t xml:space="preserve">Nicio previziune nu se adevereste. Si totusi merita facuta, pentru un singur motiv: te obliga sa scrii negru pe alb ce crezi tu ca se va intampla. Peste trei luni poti verifica ce ai gresit si de ce. Asa devii, an dupa an, mai bun la estimat.</t>
  </si>
  <si>
    <t xml:space="preserve">Ce face acest fisier</t>
  </si>
  <si>
    <t xml:space="preserve">•  Iti arata daca vei avea profit in urmatoarele 12 luni.</t>
  </si>
  <si>
    <t xml:space="preserve">•  Iti arata, separat, daca vei avea BANI in cont in fiecare luna — pentru ca nu e acelasi lucru.</t>
  </si>
  <si>
    <t xml:space="preserve">•  Iti spune de cati bani ai nevoie in plus si in ce luna, ca sa nu ceri creditul cu o saptamana inainte de scadenta.</t>
  </si>
  <si>
    <t xml:space="preserve">Ce inseamna culorile din fisier</t>
  </si>
  <si>
    <t xml:space="preserve">•  GALBEN cu scris albastru = aici scrii tu. Sunt singurele celule pe care le atingi.</t>
  </si>
  <si>
    <t xml:space="preserve">•  ALB cu scris negru = se calculeaza singur. Nu scrie peste ele, ca strici formula.</t>
  </si>
  <si>
    <t xml:space="preserve">•  BARA INCHISA LA CULOARE = titlu de sectiune. E doar ca sa te orientezi.</t>
  </si>
  <si>
    <t xml:space="preserve">•  VERDE inseamna ca esti bine. ROSU inseamna ca trebuie sa te uiti acolo.</t>
  </si>
  <si>
    <t xml:space="preserve">Ce faci, pas cu pas</t>
  </si>
  <si>
    <t xml:space="preserve">Pasul 1. Completeaza fila «Ipoteze». Este singura fila in care scrii.</t>
  </si>
  <si>
    <t xml:space="preserve">Sunt 15 casute. Fiecare are alaturi o explicatie. Daca nu stii o cifra, pune cea mai buna estimare — o previziune aproximativa e infinit mai utila decat niciuna.</t>
  </si>
  <si>
    <t xml:space="preserve">Pasul 2. Uita-te in «Previziune profit».</t>
  </si>
  <si>
    <t xml:space="preserve">Iti arata luna de luna cat vinzi, cat te costa si cat ramane. Nu scrie nimic aici.</t>
  </si>
  <si>
    <t xml:space="preserve">Pasul 3. Uita-te in «Previziune trezorerie». Aici e adevarul.</t>
  </si>
  <si>
    <t xml:space="preserve">Fisierul ia veniturile din fila anterioara si le muta in luna in care chiar incasezi banii, in functie de termenul pe care l-ai scris. La fel face cu platile. Asa vezi lunile in care ramai fara bani, chiar daca esti pe profit.</t>
  </si>
  <si>
    <t xml:space="preserve">Pasul 4. Fa testul scenariului pesimist.</t>
  </si>
  <si>
    <t xml:space="preserve">In «Ipoteze» exista o casuta numita «Factor de scenariu». Scrie 80% in ea. Inseamna: ce se intampla daca vand cu 20% mai putin? Uita-te apoi la soldul de trezorerie. Daca rezisti, ai o afacere solida. Daca intri pe minus in luna a treia, ai aflat asta azi, cand mai poti face ceva.</t>
  </si>
  <si>
    <t xml:space="preserve">Cele mai frecvente greseli</t>
  </si>
  <si>
    <t xml:space="preserve">•  Cresterea liniara. Vanzarile nu cresc cu acelasi procent in fiecare luna. Cresc in salturi, apoi stau.</t>
  </si>
  <si>
    <t xml:space="preserve">•  Termene de incasare optimiste. Foloseste cat te-a platit clientul in realitate, nu ce scrie in contract.</t>
  </si>
  <si>
    <t xml:space="preserve">•  Uitarea faptului ca cresterea costa bani inainte sa aduca bani: mai mult stoc, mai multi oameni, mai multe facturi neincasate. De aceea firmele intra in criza de bani exact in perioadele bune.</t>
  </si>
  <si>
    <t xml:space="preserve">Compara lunar ce ai estimat cu ce s-a intamplat. Nu ca sa te judeci, ci ca sa iti calibrezi ipotezele. Asta e singurul castig garantat al exercitiului.</t>
  </si>
  <si>
    <t xml:space="preserve">Daca ai stricat ceva</t>
  </si>
  <si>
    <t xml:space="preserve">Nicio problema. Descarca din nou fisierul de pe site si o iei de la capat. De aceea e gratuit.</t>
  </si>
  <si>
    <t xml:space="preserve">Template gratuit oferit de Academia Financiara — academia-financiara.ro</t>
  </si>
  <si>
    <t xml:space="preserve">Model simplu, de pornire. Pentru versiuni avansate, vezi sectiunea Instrumente Excel de pe site.</t>
  </si>
  <si>
    <t xml:space="preserve">IPOTEZELE TALE</t>
  </si>
  <si>
    <t xml:space="preserve">Singura fila in care scrii. Schimba o cifra si tot modelul se recalculeaza.</t>
  </si>
  <si>
    <t xml:space="preserve">Ipoteza</t>
  </si>
  <si>
    <t xml:space="preserve">Valoare</t>
  </si>
  <si>
    <t xml:space="preserve">Explicatie pe scurt</t>
  </si>
  <si>
    <t xml:space="preserve">Venituri in prima luna (lei, fara TVA)</t>
  </si>
  <si>
    <t xml:space="preserve">Cat estimezi ca facturezi in prima luna</t>
  </si>
  <si>
    <t xml:space="preserve">Crestere lunara a vanzarilor (%)</t>
  </si>
  <si>
    <t xml:space="preserve">2% pe luna inseamna aproximativ 27% pe an</t>
  </si>
  <si>
    <t xml:space="preserve">Factor de scenariu (%)</t>
  </si>
  <si>
    <t xml:space="preserve">100% = planul de baza. Scrie 80% pentru scenariul pesimist</t>
  </si>
  <si>
    <t xml:space="preserve">Marja bruta (%)</t>
  </si>
  <si>
    <t xml:space="preserve">Cat ramane din vanzari dupa costul marfii sau al serviciului</t>
  </si>
  <si>
    <t xml:space="preserve">Cheltuieli fixe pe luna (lei)</t>
  </si>
  <si>
    <t xml:space="preserve">Salarii, chirie, servicii, marketing — tot ce platesti oricum</t>
  </si>
  <si>
    <t xml:space="preserve">Investitii planificate in an (lei)</t>
  </si>
  <si>
    <t xml:space="preserve">Utilaj, masina, amenajare. Daca nu ai, scrie 0</t>
  </si>
  <si>
    <t xml:space="preserve">In ce luna faci investitia (1-12)</t>
  </si>
  <si>
    <t xml:space="preserve">Luna in care iese banul din cont</t>
  </si>
  <si>
    <t xml:space="preserve">Termen mediu de incasare de la clienti (zile)</t>
  </si>
  <si>
    <t xml:space="preserve">In cate zile te platesc, in realitate</t>
  </si>
  <si>
    <t xml:space="preserve">Termen mediu de plata catre furnizori (zile)</t>
  </si>
  <si>
    <t xml:space="preserve">In cate zile ii platesti tu</t>
  </si>
  <si>
    <t xml:space="preserve">Cota de TVA</t>
  </si>
  <si>
    <t xml:space="preserve">Cota standard este 21%</t>
  </si>
  <si>
    <t xml:space="preserve">Bani in cont la start (lei)</t>
  </si>
  <si>
    <t xml:space="preserve">Cati bani ai acum in conturi si in casa</t>
  </si>
  <si>
    <t xml:space="preserve">Rata lunara de credit si leasing (lei)</t>
  </si>
  <si>
    <t xml:space="preserve">Total rate, cu tot cu dobanda</t>
  </si>
  <si>
    <t xml:space="preserve">Cota de impozit pe profit (%)</t>
  </si>
  <si>
    <t xml:space="preserve">16% pentru firmele pe profit</t>
  </si>
  <si>
    <t xml:space="preserve">Bani de incasat de la clienti chiar acum (lei)</t>
  </si>
  <si>
    <t xml:space="preserve">Soldul facturilor emise si neincasate. Ii vei incasa in primele luni</t>
  </si>
  <si>
    <t xml:space="preserve">Facturi de platit catre furnizori chiar acum (lei)</t>
  </si>
  <si>
    <t xml:space="preserve">Ce datorezi acum furnizorilor si vei plati in primele luni</t>
  </si>
  <si>
    <t xml:space="preserve">Calculate automat din ipotezele de mai sus:</t>
  </si>
  <si>
    <t xml:space="preserve">Decalaj incasari (luni)</t>
  </si>
  <si>
    <t xml:space="preserve">Decalaj plati furnizori (luni)</t>
  </si>
  <si>
    <t xml:space="preserve">PREVIZIUNEA DE PROFIT — 12 LUNI</t>
  </si>
  <si>
    <t xml:space="preserve">Se calculeaza automat din fila «Ipoteze».</t>
  </si>
  <si>
    <t xml:space="preserve">Linie (lei, fara TVA)</t>
  </si>
  <si>
    <t xml:space="preserve">Ianuarie</t>
  </si>
  <si>
    <t xml:space="preserve">Februarie</t>
  </si>
  <si>
    <t xml:space="preserve">Martie</t>
  </si>
  <si>
    <t xml:space="preserve">Aprilie</t>
  </si>
  <si>
    <t xml:space="preserve">Mai</t>
  </si>
  <si>
    <t xml:space="preserve">Iunie</t>
  </si>
  <si>
    <t xml:space="preserve">Iulie</t>
  </si>
  <si>
    <t xml:space="preserve">August</t>
  </si>
  <si>
    <t xml:space="preserve">Septembrie</t>
  </si>
  <si>
    <t xml:space="preserve">Octombrie</t>
  </si>
  <si>
    <t xml:space="preserve">Noiembrie</t>
  </si>
  <si>
    <t xml:space="preserve">Decembrie</t>
  </si>
  <si>
    <t xml:space="preserve">TOTAL AN</t>
  </si>
  <si>
    <t xml:space="preserve">Venituri</t>
  </si>
  <si>
    <t xml:space="preserve">Costuri directe (marfa, materiale, manopera)</t>
  </si>
  <si>
    <t xml:space="preserve">Marja bruta</t>
  </si>
  <si>
    <t xml:space="preserve">Cheltuieli fixe</t>
  </si>
  <si>
    <t xml:space="preserve">EBITDA (castigul din activitatea curenta)</t>
  </si>
  <si>
    <t xml:space="preserve">Impozit estimat</t>
  </si>
  <si>
    <t xml:space="preserve">PROFIT NET ESTIMAT</t>
  </si>
  <si>
    <t xml:space="preserve">Marja neta (%)</t>
  </si>
  <si>
    <t xml:space="preserve">Modelul simplu nu include amortizarea si dobanzile in profit. Ratele de credit apar in fila de trezorerie, acolo unde conteaza cu adevarat.</t>
  </si>
  <si>
    <t xml:space="preserve">PREVIZIUNEA DE BANI IN CONT — 12 LUNI</t>
  </si>
  <si>
    <t xml:space="preserve">Aici vezi lunile in care ramai fara bani, chiar daca esti pe profit.</t>
  </si>
  <si>
    <t xml:space="preserve">Miscarea banilor (lei, cu TVA)</t>
  </si>
  <si>
    <t xml:space="preserve">Bani in cont la inceputul lunii</t>
  </si>
  <si>
    <t xml:space="preserve">Incasari din vanzarile previzionate (cu TVA)</t>
  </si>
  <si>
    <t xml:space="preserve">Incasari din facturile deja emise (cu TVA)</t>
  </si>
  <si>
    <t xml:space="preserve">TOTAL BANI CARE INTRA</t>
  </si>
  <si>
    <t xml:space="preserve">Plati catre furnizori din vanzarile noi (cu TVA)</t>
  </si>
  <si>
    <t xml:space="preserve">Plata facturilor deja primite</t>
  </si>
  <si>
    <t xml:space="preserve">Plata cheltuielilor fixe</t>
  </si>
  <si>
    <t xml:space="preserve">TVA de plata catre stat (din luna anterioara)</t>
  </si>
  <si>
    <t xml:space="preserve">Impozit</t>
  </si>
  <si>
    <t xml:space="preserve">Rate credite si leasing</t>
  </si>
  <si>
    <t xml:space="preserve">Investitii</t>
  </si>
  <si>
    <t xml:space="preserve">TOTAL BANI CARE IES</t>
  </si>
  <si>
    <t xml:space="preserve">Diferenta lunii (intra minus iese)</t>
  </si>
  <si>
    <t xml:space="preserve">BANI IN CONT LA FINALUL LUNII</t>
  </si>
  <si>
    <t xml:space="preserve">De cati bani ai nevoie in plus</t>
  </si>
  <si>
    <t xml:space="preserve">CONCLUZIILE PE CARE LE CITESTI PRIMA DATA</t>
  </si>
  <si>
    <t xml:space="preserve">Cea mai mica suma din cont, in tot anul (lei)</t>
  </si>
  <si>
    <t xml:space="preserve">In ce luna se intampla</t>
  </si>
  <si>
    <t xml:space="preserve">Cati bani iti lipsesc, la cel mai rau moment (lei)</t>
  </si>
  <si>
    <t xml:space="preserve">Cate luni ramai fara bani</t>
  </si>
  <si>
    <t xml:space="preserve">Profit estimat pe an (lei)</t>
  </si>
  <si>
    <t xml:space="preserve">De ce profitul si banii nu sunt acelasi lucru: profitul apare cand facturezi, banii cand incasezi. Intre cele doua momente trec, in modelul tau, atatea zile cate ai scris la termenul de incasare.</t>
  </si>
  <si>
    <t xml:space="preserve">CELE TREI SCENARII</t>
  </si>
  <si>
    <t xml:space="preserve">Schimba «Factorul de scenariu» din fila «Ipoteze» si noteaza aici rezultatele.</t>
  </si>
  <si>
    <t xml:space="preserve">Scenariu</t>
  </si>
  <si>
    <t xml:space="preserve">Factor de scenariu</t>
  </si>
  <si>
    <t xml:space="preserve">Profit pe an (lei)</t>
  </si>
  <si>
    <t xml:space="preserve">Cea mai mica suma din cont</t>
  </si>
  <si>
    <t xml:space="preserve">Cati bani iti lipsesc</t>
  </si>
  <si>
    <t xml:space="preserve">Pesimist</t>
  </si>
  <si>
    <t xml:space="preserve">De baza</t>
  </si>
  <si>
    <t xml:space="preserve">Optimist</t>
  </si>
  <si>
    <t xml:space="preserve">Cum se completeaza tabelul de mai sus:</t>
  </si>
  <si>
    <t xml:space="preserve">1. Mergi in fila «Ipoteze» si scrie 80% la «Factor de scenariu».</t>
  </si>
  <si>
    <t xml:space="preserve">2. Deschide «Previziune trezorerie» si copiaza aici cele trei cifre din concluzii.</t>
  </si>
  <si>
    <t xml:space="preserve">3. Repeta cu 100% si cu 115%.</t>
  </si>
  <si>
    <t xml:space="preserve">4. Uita-te la randul «Pesimist». Daca acolo firma rezista, dormi linistit.</t>
  </si>
  <si>
    <t xml:space="preserve">Scenariul care conteaza cu adevarat nu este cel optimist, ci cel pesimist: el iti spune daca supravietuiesti.</t>
  </si>
</sst>
</file>

<file path=xl/styles.xml><?xml version="1.0" encoding="utf-8"?>
<styleSheet xmlns="http://schemas.openxmlformats.org/spreadsheetml/2006/main">
  <numFmts count="3">
    <numFmt numFmtId="164" formatCode="General"/>
    <numFmt numFmtId="165" formatCode="#,##0;\(#,##0\);\-"/>
    <numFmt numFmtId="166" formatCode="0.0%"/>
  </numFmts>
  <fonts count="21">
    <font>
      <sz val="11"/>
      <color theme="1"/>
      <name val="Calibri"/>
      <family val="2"/>
      <charset val="1"/>
    </font>
    <font>
      <sz val="10"/>
      <name val="Arial"/>
      <family val="0"/>
    </font>
    <font>
      <sz val="10"/>
      <name val="Arial"/>
      <family val="0"/>
    </font>
    <font>
      <sz val="10"/>
      <name val="Arial"/>
      <family val="0"/>
    </font>
    <font>
      <b val="true"/>
      <sz val="18"/>
      <color rgb="FF12181E"/>
      <name val="Arial"/>
      <family val="0"/>
      <charset val="1"/>
    </font>
    <font>
      <sz val="10.5"/>
      <color rgb="FF1D262E"/>
      <name val="Arial"/>
      <family val="0"/>
      <charset val="1"/>
    </font>
    <font>
      <b val="true"/>
      <sz val="12"/>
      <color rgb="FF19715C"/>
      <name val="Arial"/>
      <family val="0"/>
      <charset val="1"/>
    </font>
    <font>
      <b val="true"/>
      <sz val="10.5"/>
      <color rgb="FF12181E"/>
      <name val="Arial"/>
      <family val="0"/>
      <charset val="1"/>
    </font>
    <font>
      <sz val="10.5"/>
      <color rgb="FF0F4F40"/>
      <name val="Arial"/>
      <family val="0"/>
      <charset val="1"/>
    </font>
    <font>
      <b val="true"/>
      <sz val="16"/>
      <color rgb="FF12181E"/>
      <name val="Arial"/>
      <family val="0"/>
      <charset val="1"/>
    </font>
    <font>
      <i val="true"/>
      <sz val="10"/>
      <color rgb="FF5A6670"/>
      <name val="Arial"/>
      <family val="0"/>
      <charset val="1"/>
    </font>
    <font>
      <b val="true"/>
      <sz val="10"/>
      <color rgb="FFFFFFFF"/>
      <name val="Arial"/>
      <family val="0"/>
      <charset val="1"/>
    </font>
    <font>
      <sz val="10"/>
      <color rgb="FF1D262E"/>
      <name val="Arial"/>
      <family val="0"/>
      <charset val="1"/>
    </font>
    <font>
      <sz val="10"/>
      <color rgb="FF0000FF"/>
      <name val="Arial"/>
      <family val="0"/>
      <charset val="1"/>
    </font>
    <font>
      <sz val="10"/>
      <color rgb="FF5A6670"/>
      <name val="Arial"/>
      <family val="0"/>
      <charset val="1"/>
    </font>
    <font>
      <b val="true"/>
      <sz val="10"/>
      <color rgb="FF19715C"/>
      <name val="Arial"/>
      <family val="0"/>
      <charset val="1"/>
    </font>
    <font>
      <b val="true"/>
      <sz val="10"/>
      <color rgb="FF1D262E"/>
      <name val="Arial"/>
      <family val="0"/>
      <charset val="1"/>
    </font>
    <font>
      <b val="true"/>
      <sz val="10"/>
      <color rgb="FFF2E6DA"/>
      <name val="Arial"/>
      <family val="0"/>
      <charset val="1"/>
    </font>
    <font>
      <b val="true"/>
      <sz val="11"/>
      <color rgb="FF19715C"/>
      <name val="Arial"/>
      <family val="0"/>
      <charset val="1"/>
    </font>
    <font>
      <b val="true"/>
      <sz val="18"/>
      <color rgb="FF000000"/>
      <name val="Calibri"/>
      <family val="2"/>
    </font>
    <font>
      <sz val="10"/>
      <color rgb="FF000000"/>
      <name val="Calibri"/>
      <family val="2"/>
    </font>
  </fonts>
  <fills count="9">
    <fill>
      <patternFill patternType="none"/>
    </fill>
    <fill>
      <patternFill patternType="gray125"/>
    </fill>
    <fill>
      <patternFill patternType="solid">
        <fgColor rgb="FFDFF0EA"/>
        <bgColor rgb="FFF7F2EC"/>
      </patternFill>
    </fill>
    <fill>
      <patternFill patternType="solid">
        <fgColor rgb="FF19715C"/>
        <bgColor rgb="FF008080"/>
      </patternFill>
    </fill>
    <fill>
      <patternFill patternType="solid">
        <fgColor rgb="FFFFF2CC"/>
        <bgColor rgb="FFFBEBD7"/>
      </patternFill>
    </fill>
    <fill>
      <patternFill patternType="solid">
        <fgColor rgb="FFF2E6DA"/>
        <bgColor rgb="FFFBEBD7"/>
      </patternFill>
    </fill>
    <fill>
      <patternFill patternType="solid">
        <fgColor rgb="FF47B298"/>
        <bgColor rgb="FF33CCCC"/>
      </patternFill>
    </fill>
    <fill>
      <patternFill patternType="solid">
        <fgColor rgb="FFF7F2EC"/>
        <bgColor rgb="FFFBEBD7"/>
      </patternFill>
    </fill>
    <fill>
      <patternFill patternType="solid">
        <fgColor rgb="FF12181E"/>
        <bgColor rgb="FF1D262E"/>
      </patternFill>
    </fill>
  </fills>
  <borders count="2">
    <border diagonalUp="false" diagonalDown="false">
      <left/>
      <right/>
      <top/>
      <bottom/>
      <diagonal/>
    </border>
    <border diagonalUp="false" diagonalDown="false">
      <left style="thin">
        <color rgb="FFD5C7BA"/>
      </left>
      <right style="thin">
        <color rgb="FFD5C7BA"/>
      </right>
      <top style="thin">
        <color rgb="FFD5C7BA"/>
      </top>
      <bottom style="thin">
        <color rgb="FFD5C7B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6" fillId="0" borderId="0" xfId="0" applyFont="true" applyBorder="fals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general" vertical="top" textRotation="0" wrapText="true" indent="1" shrinkToFit="false"/>
      <protection locked="true" hidden="false"/>
    </xf>
    <xf numFmtId="164" fontId="7" fillId="0" borderId="0" xfId="0" applyFont="true" applyBorder="false" applyAlignment="true" applyProtection="true">
      <alignment horizontal="general" vertical="top" textRotation="0" wrapText="true" indent="0" shrinkToFit="false"/>
      <protection locked="true" hidden="false"/>
    </xf>
    <xf numFmtId="164" fontId="8" fillId="2" borderId="0" xfId="0" applyFont="true" applyBorder="false" applyAlignment="true" applyProtection="true">
      <alignment horizontal="general" vertical="center" textRotation="0" wrapText="true" indent="1"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false" indent="0" shrinkToFit="false"/>
      <protection locked="true" hidden="false"/>
    </xf>
    <xf numFmtId="165" fontId="13" fillId="4" borderId="1" xfId="0" applyFont="true" applyBorder="true" applyAlignment="true" applyProtection="true">
      <alignment horizontal="right" vertical="bottom" textRotation="0" wrapText="false" indent="0" shrinkToFit="false"/>
      <protection locked="true" hidden="false"/>
    </xf>
    <xf numFmtId="164" fontId="14" fillId="0" borderId="1" xfId="0" applyFont="true" applyBorder="true" applyAlignment="true" applyProtection="true">
      <alignment horizontal="left" vertical="center" textRotation="0" wrapText="false" indent="0" shrinkToFit="false"/>
      <protection locked="true" hidden="false"/>
    </xf>
    <xf numFmtId="166" fontId="13" fillId="4" borderId="1" xfId="0" applyFont="true" applyBorder="true" applyAlignment="true" applyProtection="true">
      <alignment horizontal="right" vertical="bottom" textRotation="0" wrapText="false" indent="0" shrinkToFit="false"/>
      <protection locked="true" hidden="false"/>
    </xf>
    <xf numFmtId="164" fontId="15" fillId="0" borderId="0" xfId="0" applyFont="true" applyBorder="false" applyAlignment="true" applyProtection="true">
      <alignment horizontal="left" vertical="center" textRotation="0" wrapText="false" indent="0" shrinkToFit="false"/>
      <protection locked="true" hidden="false"/>
    </xf>
    <xf numFmtId="165" fontId="12" fillId="0" borderId="1" xfId="0" applyFont="true" applyBorder="true" applyAlignment="true" applyProtection="true">
      <alignment horizontal="right" vertical="bottom" textRotation="0" wrapText="false" indent="0" shrinkToFit="false"/>
      <protection locked="true" hidden="false"/>
    </xf>
    <xf numFmtId="164" fontId="16" fillId="0" borderId="0" xfId="0" applyFont="true" applyBorder="false" applyAlignment="true" applyProtection="true">
      <alignment horizontal="left" vertical="center" textRotation="0" wrapText="false" indent="0" shrinkToFit="false"/>
      <protection locked="true" hidden="false"/>
    </xf>
    <xf numFmtId="165" fontId="16" fillId="0" borderId="1" xfId="0" applyFont="true" applyBorder="true" applyAlignment="true" applyProtection="true">
      <alignment horizontal="right" vertical="bottom" textRotation="0" wrapText="false" indent="0" shrinkToFit="false"/>
      <protection locked="true" hidden="false"/>
    </xf>
    <xf numFmtId="165" fontId="16" fillId="5" borderId="1" xfId="0" applyFont="true" applyBorder="true" applyAlignment="true" applyProtection="true">
      <alignment horizontal="right" vertical="bottom" textRotation="0" wrapText="false" indent="0" shrinkToFit="false"/>
      <protection locked="true" hidden="false"/>
    </xf>
    <xf numFmtId="164" fontId="12" fillId="0" borderId="0" xfId="0" applyFont="true" applyBorder="false" applyAlignment="true" applyProtection="true">
      <alignment horizontal="left" vertical="center" textRotation="0" wrapText="false" indent="0" shrinkToFit="false"/>
      <protection locked="true" hidden="false"/>
    </xf>
    <xf numFmtId="164" fontId="16" fillId="5" borderId="0" xfId="0" applyFont="true" applyBorder="false" applyAlignment="true" applyProtection="true">
      <alignment horizontal="left" vertical="center" textRotation="0" wrapText="false" indent="0" shrinkToFit="false"/>
      <protection locked="true" hidden="false"/>
    </xf>
    <xf numFmtId="164" fontId="16" fillId="6" borderId="0" xfId="0" applyFont="true" applyBorder="false" applyAlignment="true" applyProtection="true">
      <alignment horizontal="left" vertical="center" textRotation="0" wrapText="false" indent="0" shrinkToFit="false"/>
      <protection locked="true" hidden="false"/>
    </xf>
    <xf numFmtId="165" fontId="16" fillId="6" borderId="1" xfId="0" applyFont="true" applyBorder="true" applyAlignment="true" applyProtection="true">
      <alignment horizontal="right" vertical="bottom" textRotation="0" wrapText="false" indent="0" shrinkToFit="false"/>
      <protection locked="true" hidden="false"/>
    </xf>
    <xf numFmtId="166" fontId="12" fillId="0" borderId="1" xfId="0" applyFont="true" applyBorder="true" applyAlignment="true" applyProtection="true">
      <alignment horizontal="right" vertical="bottom" textRotation="0" wrapText="false" indent="0" shrinkToFit="false"/>
      <protection locked="true" hidden="false"/>
    </xf>
    <xf numFmtId="166" fontId="16" fillId="5" borderId="1" xfId="0" applyFont="true" applyBorder="true" applyAlignment="true" applyProtection="true">
      <alignment horizontal="right" vertical="bottom" textRotation="0" wrapText="false" indent="0" shrinkToFit="false"/>
      <protection locked="true" hidden="false"/>
    </xf>
    <xf numFmtId="164" fontId="14" fillId="0" borderId="0" xfId="0" applyFont="true" applyBorder="false" applyAlignment="true" applyProtection="true">
      <alignment horizontal="left" vertical="center" textRotation="0" wrapText="false" indent="0" shrinkToFit="false"/>
      <protection locked="true" hidden="false"/>
    </xf>
    <xf numFmtId="164" fontId="12" fillId="7" borderId="0" xfId="0" applyFont="true" applyBorder="false" applyAlignment="true" applyProtection="true">
      <alignment horizontal="left" vertical="center" textRotation="0" wrapText="false" indent="0" shrinkToFit="false"/>
      <protection locked="true" hidden="false"/>
    </xf>
    <xf numFmtId="165" fontId="12" fillId="7" borderId="1" xfId="0" applyFont="true" applyBorder="true" applyAlignment="true" applyProtection="true">
      <alignment horizontal="right" vertical="bottom" textRotation="0" wrapText="false" indent="0" shrinkToFit="false"/>
      <protection locked="true" hidden="false"/>
    </xf>
    <xf numFmtId="164" fontId="17" fillId="8" borderId="0" xfId="0" applyFont="true" applyBorder="false" applyAlignment="true" applyProtection="true">
      <alignment horizontal="general" vertical="bottom" textRotation="0" wrapText="false" indent="0" shrinkToFit="false"/>
      <protection locked="true" hidden="false"/>
    </xf>
    <xf numFmtId="164" fontId="16" fillId="0" borderId="1" xfId="0" applyFont="true" applyBorder="true" applyAlignment="true" applyProtection="true">
      <alignment horizontal="left" vertical="center" textRotation="0" wrapText="false" indent="0" shrinkToFit="false"/>
      <protection locked="true" hidden="false"/>
    </xf>
    <xf numFmtId="164" fontId="16" fillId="0" borderId="1" xfId="0" applyFont="true" applyBorder="true" applyAlignment="true" applyProtection="true">
      <alignment horizontal="right"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F8D7D3"/>
        </patternFill>
      </fill>
    </dxf>
    <dxf>
      <font>
        <name val="Arial"/>
        <charset val="1"/>
        <family val="0"/>
        <b val="1"/>
        <color rgb="FF8A3B2E"/>
        <sz val="10"/>
      </font>
      <fill>
        <patternFill>
          <bgColor rgb="FFF8D7D3"/>
        </patternFill>
      </fill>
    </dxf>
    <dxf>
      <fill>
        <patternFill>
          <bgColor rgb="FFFBEBD7"/>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9715C"/>
      <rgbColor rgb="FFD5C7BA"/>
      <rgbColor rgb="FF878787"/>
      <rgbColor rgb="FF9999FF"/>
      <rgbColor rgb="FF993366"/>
      <rgbColor rgb="FFFFF2CC"/>
      <rgbColor rgb="FFDFF0EA"/>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7F2EC"/>
      <rgbColor rgb="FFF2E6DA"/>
      <rgbColor rgb="FFFBEBD7"/>
      <rgbColor rgb="FF99CCFF"/>
      <rgbColor rgb="FFFF99CC"/>
      <rgbColor rgb="FFCC99FF"/>
      <rgbColor rgb="FFF8D7D3"/>
      <rgbColor rgb="FF4A7EBB"/>
      <rgbColor rgb="FF33CCCC"/>
      <rgbColor rgb="FF99CC00"/>
      <rgbColor rgb="FFFFCC00"/>
      <rgbColor rgb="FFFF9900"/>
      <rgbColor rgb="FFFF6600"/>
      <rgbColor rgb="FF5A6670"/>
      <rgbColor rgb="FF969696"/>
      <rgbColor rgb="FF0F4F40"/>
      <rgbColor rgb="FF47B298"/>
      <rgbColor rgb="FF12181E"/>
      <rgbColor rgb="FF333300"/>
      <rgbColor rgb="FF8A3B2E"/>
      <rgbColor rgb="FF993366"/>
      <rgbColor rgb="FF333399"/>
      <rgbColor rgb="FF1D262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Banii din cont, luna de luna</a:t>
            </a:r>
          </a:p>
        </c:rich>
      </c:tx>
      <c:overlay val="0"/>
      <c:spPr>
        <a:noFill/>
        <a:ln w="0">
          <a:noFill/>
        </a:ln>
      </c:spPr>
    </c:title>
    <c:autoTitleDeleted val="0"/>
    <c:plotArea>
      <c:lineChart>
        <c:grouping val="standard"/>
        <c:varyColors val="0"/>
        <c:ser>
          <c:idx val="0"/>
          <c:order val="0"/>
          <c:tx>
            <c:strRef>
              <c:f>'Previziune trezorerie'!A18</c:f>
              <c:strCache>
                <c:ptCount val="1"/>
                <c:pt idx="0">
                  <c:v>BANI IN CONT LA FINALUL LUNII</c:v>
                </c:pt>
              </c:strCache>
            </c:strRef>
          </c:tx>
          <c:spPr>
            <a:solidFill>
              <a:srgbClr val="4a7ebb"/>
            </a:solidFill>
            <a:ln w="28440">
              <a:solidFill>
                <a:srgbClr val="4a7ebb"/>
              </a:solidFill>
              <a:round/>
            </a:ln>
          </c:spPr>
          <c:marker>
            <c:symbol val="none"/>
          </c:marker>
          <c:dLbls>
            <c:txPr>
              <a:bodyPr wrap="non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'Previziune trezorerie'!$B$4:$M$4</c:f>
              <c:strCache>
                <c:ptCount val="12"/>
                <c:pt idx="0">
                  <c:v>Ianuarie</c:v>
                </c:pt>
                <c:pt idx="1">
                  <c:v>Februarie</c:v>
                </c:pt>
                <c:pt idx="2">
                  <c:v>Martie</c:v>
                </c:pt>
                <c:pt idx="3">
                  <c:v>Aprilie</c:v>
                </c:pt>
                <c:pt idx="4">
                  <c:v>Mai</c:v>
                </c:pt>
                <c:pt idx="5">
                  <c:v>Iunie</c:v>
                </c:pt>
                <c:pt idx="6">
                  <c:v>Iulie</c:v>
                </c:pt>
                <c:pt idx="7">
                  <c:v>August</c:v>
                </c:pt>
                <c:pt idx="8">
                  <c:v>Septembrie</c:v>
                </c:pt>
                <c:pt idx="9">
                  <c:v>Octombrie</c:v>
                </c:pt>
                <c:pt idx="10">
                  <c:v>Noiembrie</c:v>
                </c:pt>
                <c:pt idx="11">
                  <c:v>Decembrie</c:v>
                </c:pt>
              </c:strCache>
            </c:strRef>
          </c:cat>
          <c:val>
            <c:numRef>
              <c:f>'Previziune trezorerie'!$B$18:$M$18</c:f>
              <c:numCache>
                <c:formatCode>#,##0;\(#,##0\);\-</c:formatCode>
                <c:ptCount val="12"/>
                <c:pt idx="0">
                  <c:v>83748</c:v>
                </c:pt>
                <c:pt idx="1">
                  <c:v>63642.56</c:v>
                </c:pt>
                <c:pt idx="2">
                  <c:v>68306.6112</c:v>
                </c:pt>
                <c:pt idx="3">
                  <c:v>74235.543424</c:v>
                </c:pt>
                <c:pt idx="4">
                  <c:v>41454.65429248</c:v>
                </c:pt>
                <c:pt idx="5">
                  <c:v>49989.7473783296</c:v>
                </c:pt>
                <c:pt idx="6">
                  <c:v>59867.1423258962</c:v>
                </c:pt>
                <c:pt idx="7">
                  <c:v>71113.6851724141</c:v>
                </c:pt>
                <c:pt idx="8">
                  <c:v>83756.7588758623</c:v>
                </c:pt>
                <c:pt idx="9">
                  <c:v>97824.2940533795</c:v>
                </c:pt>
                <c:pt idx="10">
                  <c:v>113344.779934447</c:v>
                </c:pt>
                <c:pt idx="11">
                  <c:v>130347.275533136</c:v>
                </c:pt>
              </c:numCache>
            </c:numRef>
          </c:val>
          <c:smooth val="1"/>
        </c:ser>
        <c:hiLowLines>
          <c:spPr>
            <a:ln w="0">
              <a:noFill/>
            </a:ln>
          </c:spPr>
        </c:hiLowLines>
        <c:marker val="0"/>
        <c:axId val="96945969"/>
        <c:axId val="4548710"/>
      </c:lineChart>
      <c:catAx>
        <c:axId val="96945969"/>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548710"/>
        <c:crosses val="autoZero"/>
        <c:auto val="1"/>
        <c:lblAlgn val="ctr"/>
        <c:lblOffset val="100"/>
        <c:noMultiLvlLbl val="0"/>
      </c:catAx>
      <c:valAx>
        <c:axId val="4548710"/>
        <c:scaling>
          <c:orientation val="minMax"/>
        </c:scaling>
        <c:delete val="0"/>
        <c:axPos val="l"/>
        <c:majorGridlines>
          <c:spPr>
            <a:ln w="9360">
              <a:solidFill>
                <a:srgbClr val="878787"/>
              </a:solidFill>
              <a:round/>
            </a:ln>
          </c:spPr>
        </c:majorGridlines>
        <c:numFmt formatCode="#,##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6945969"/>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30</xdr:row>
      <xdr:rowOff>0</xdr:rowOff>
    </xdr:from>
    <xdr:to>
      <xdr:col>7</xdr:col>
      <xdr:colOff>249480</xdr:colOff>
      <xdr:row>45</xdr:row>
      <xdr:rowOff>21960</xdr:rowOff>
    </xdr:to>
    <xdr:graphicFrame>
      <xdr:nvGraphicFramePr>
        <xdr:cNvPr id="0" name="Chart 1"/>
        <xdr:cNvGraphicFramePr/>
      </xdr:nvGraphicFramePr>
      <xdr:xfrm>
        <a:off x="0" y="6105600"/>
        <a:ext cx="8639280" cy="28792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4.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B3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105"/>
  </cols>
  <sheetData>
    <row r="1" customFormat="false" ht="30" hidden="false" customHeight="true" outlineLevel="0" collapsed="false">
      <c r="B1" s="2" t="s">
        <v>0</v>
      </c>
    </row>
    <row r="2" customFormat="false" ht="7.5" hidden="false" customHeight="true" outlineLevel="0" collapsed="false"/>
    <row r="3" customFormat="false" ht="42" hidden="false" customHeight="true" outlineLevel="0" collapsed="false">
      <c r="B3" s="3" t="s">
        <v>1</v>
      </c>
    </row>
    <row r="4" customFormat="false" ht="7.5" hidden="false" customHeight="true" outlineLevel="0" collapsed="false"/>
    <row r="5" customFormat="false" ht="25.5" hidden="false" customHeight="true" outlineLevel="0" collapsed="false">
      <c r="B5" s="4" t="s">
        <v>2</v>
      </c>
    </row>
    <row r="6" customFormat="false" ht="15.75" hidden="false" customHeight="true" outlineLevel="0" collapsed="false">
      <c r="B6" s="5" t="s">
        <v>3</v>
      </c>
    </row>
    <row r="7" customFormat="false" ht="27.75" hidden="false" customHeight="true" outlineLevel="0" collapsed="false">
      <c r="B7" s="5" t="s">
        <v>4</v>
      </c>
    </row>
    <row r="8" customFormat="false" ht="27.75" hidden="false" customHeight="true" outlineLevel="0" collapsed="false">
      <c r="B8" s="5" t="s">
        <v>5</v>
      </c>
    </row>
    <row r="9" customFormat="false" ht="7.5" hidden="false" customHeight="true" outlineLevel="0" collapsed="false"/>
    <row r="10" customFormat="false" ht="25.5" hidden="false" customHeight="true" outlineLevel="0" collapsed="false">
      <c r="B10" s="4" t="s">
        <v>6</v>
      </c>
    </row>
    <row r="11" customFormat="false" ht="15.75" hidden="false" customHeight="true" outlineLevel="0" collapsed="false">
      <c r="B11" s="5" t="s">
        <v>7</v>
      </c>
    </row>
    <row r="12" customFormat="false" ht="15.75" hidden="false" customHeight="true" outlineLevel="0" collapsed="false">
      <c r="B12" s="5" t="s">
        <v>8</v>
      </c>
    </row>
    <row r="13" customFormat="false" ht="15.75" hidden="false" customHeight="true" outlineLevel="0" collapsed="false">
      <c r="B13" s="5" t="s">
        <v>9</v>
      </c>
    </row>
    <row r="14" customFormat="false" ht="15.75" hidden="false" customHeight="true" outlineLevel="0" collapsed="false">
      <c r="B14" s="5" t="s">
        <v>10</v>
      </c>
    </row>
    <row r="15" customFormat="false" ht="7.5" hidden="false" customHeight="true" outlineLevel="0" collapsed="false"/>
    <row r="16" customFormat="false" ht="25.5" hidden="false" customHeight="true" outlineLevel="0" collapsed="false">
      <c r="B16" s="4" t="s">
        <v>11</v>
      </c>
    </row>
    <row r="17" customFormat="false" ht="15.75" hidden="false" customHeight="true" outlineLevel="0" collapsed="false">
      <c r="B17" s="6" t="s">
        <v>12</v>
      </c>
    </row>
    <row r="18" customFormat="false" ht="27.75" hidden="false" customHeight="true" outlineLevel="0" collapsed="false">
      <c r="B18" s="3" t="s">
        <v>13</v>
      </c>
    </row>
    <row r="19" customFormat="false" ht="15.75" hidden="false" customHeight="true" outlineLevel="0" collapsed="false">
      <c r="B19" s="6" t="s">
        <v>14</v>
      </c>
    </row>
    <row r="20" customFormat="false" ht="15.75" hidden="false" customHeight="true" outlineLevel="0" collapsed="false">
      <c r="B20" s="3" t="s">
        <v>15</v>
      </c>
    </row>
    <row r="21" customFormat="false" ht="15.75" hidden="false" customHeight="true" outlineLevel="0" collapsed="false">
      <c r="B21" s="6" t="s">
        <v>16</v>
      </c>
    </row>
    <row r="22" customFormat="false" ht="42" hidden="false" customHeight="true" outlineLevel="0" collapsed="false">
      <c r="B22" s="3" t="s">
        <v>17</v>
      </c>
    </row>
    <row r="23" customFormat="false" ht="15.75" hidden="false" customHeight="true" outlineLevel="0" collapsed="false">
      <c r="B23" s="6" t="s">
        <v>18</v>
      </c>
    </row>
    <row r="24" customFormat="false" ht="42" hidden="false" customHeight="true" outlineLevel="0" collapsed="false">
      <c r="B24" s="3" t="s">
        <v>19</v>
      </c>
    </row>
    <row r="25" customFormat="false" ht="7.5" hidden="false" customHeight="true" outlineLevel="0" collapsed="false"/>
    <row r="26" customFormat="false" ht="25.5" hidden="false" customHeight="true" outlineLevel="0" collapsed="false">
      <c r="B26" s="4" t="s">
        <v>20</v>
      </c>
    </row>
    <row r="27" customFormat="false" ht="27.75" hidden="false" customHeight="true" outlineLevel="0" collapsed="false">
      <c r="B27" s="5" t="s">
        <v>21</v>
      </c>
    </row>
    <row r="28" customFormat="false" ht="27.75" hidden="false" customHeight="true" outlineLevel="0" collapsed="false">
      <c r="B28" s="5" t="s">
        <v>22</v>
      </c>
    </row>
    <row r="29" customFormat="false" ht="42" hidden="false" customHeight="true" outlineLevel="0" collapsed="false">
      <c r="B29" s="5" t="s">
        <v>23</v>
      </c>
    </row>
    <row r="30" customFormat="false" ht="7.5" hidden="false" customHeight="true" outlineLevel="0" collapsed="false"/>
    <row r="31" customFormat="false" ht="30" hidden="false" customHeight="true" outlineLevel="0" collapsed="false">
      <c r="B31" s="7" t="s">
        <v>24</v>
      </c>
    </row>
    <row r="32" customFormat="false" ht="7.5" hidden="false" customHeight="true" outlineLevel="0" collapsed="false"/>
    <row r="33" customFormat="false" ht="25.5" hidden="false" customHeight="true" outlineLevel="0" collapsed="false">
      <c r="B33" s="4" t="s">
        <v>25</v>
      </c>
    </row>
    <row r="34" customFormat="false" ht="15.75" hidden="false" customHeight="true" outlineLevel="0" collapsed="false">
      <c r="B34" s="3" t="s">
        <v>26</v>
      </c>
    </row>
    <row r="35" customFormat="false" ht="7.5" hidden="false" customHeight="true" outlineLevel="0" collapsed="false"/>
    <row r="36" customFormat="false" ht="15.75" hidden="false" customHeight="true" outlineLevel="0" collapsed="false">
      <c r="B36" s="3" t="s">
        <v>27</v>
      </c>
    </row>
    <row r="37" customFormat="false" ht="27.75" hidden="false" customHeight="true" outlineLevel="0" collapsed="false">
      <c r="B37" s="3" t="s">
        <v>28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2"/>
    <col collapsed="false" customWidth="true" hidden="false" outlineLevel="0" max="2" min="2" style="1" width="16"/>
    <col collapsed="false" customWidth="true" hidden="false" outlineLevel="0" max="3" min="3" style="1" width="62"/>
  </cols>
  <sheetData>
    <row r="1" customFormat="false" ht="25.5" hidden="false" customHeight="true" outlineLevel="0" collapsed="false">
      <c r="A1" s="8" t="s">
        <v>29</v>
      </c>
    </row>
    <row r="2" customFormat="false" ht="15.75" hidden="false" customHeight="true" outlineLevel="0" collapsed="false">
      <c r="A2" s="9" t="s">
        <v>30</v>
      </c>
    </row>
    <row r="4" customFormat="false" ht="30" hidden="false" customHeight="true" outlineLevel="0" collapsed="false">
      <c r="A4" s="10" t="s">
        <v>31</v>
      </c>
      <c r="B4" s="11" t="s">
        <v>32</v>
      </c>
      <c r="C4" s="11" t="s">
        <v>33</v>
      </c>
    </row>
    <row r="5" customFormat="false" ht="15" hidden="false" customHeight="false" outlineLevel="0" collapsed="false">
      <c r="A5" s="12" t="s">
        <v>34</v>
      </c>
      <c r="B5" s="13" t="n">
        <v>180000</v>
      </c>
      <c r="C5" s="14" t="s">
        <v>35</v>
      </c>
    </row>
    <row r="6" customFormat="false" ht="15" hidden="false" customHeight="false" outlineLevel="0" collapsed="false">
      <c r="A6" s="12" t="s">
        <v>36</v>
      </c>
      <c r="B6" s="15" t="n">
        <v>0.02</v>
      </c>
      <c r="C6" s="14" t="s">
        <v>37</v>
      </c>
    </row>
    <row r="7" customFormat="false" ht="15" hidden="false" customHeight="false" outlineLevel="0" collapsed="false">
      <c r="A7" s="12" t="s">
        <v>38</v>
      </c>
      <c r="B7" s="15" t="n">
        <v>1</v>
      </c>
      <c r="C7" s="14" t="s">
        <v>39</v>
      </c>
    </row>
    <row r="8" customFormat="false" ht="15" hidden="false" customHeight="false" outlineLevel="0" collapsed="false">
      <c r="A8" s="12" t="s">
        <v>40</v>
      </c>
      <c r="B8" s="15" t="n">
        <v>0.44</v>
      </c>
      <c r="C8" s="14" t="s">
        <v>41</v>
      </c>
    </row>
    <row r="9" customFormat="false" ht="15" hidden="false" customHeight="false" outlineLevel="0" collapsed="false">
      <c r="A9" s="12" t="s">
        <v>42</v>
      </c>
      <c r="B9" s="13" t="n">
        <v>62000</v>
      </c>
      <c r="C9" s="14" t="s">
        <v>43</v>
      </c>
    </row>
    <row r="10" customFormat="false" ht="15" hidden="false" customHeight="false" outlineLevel="0" collapsed="false">
      <c r="A10" s="12" t="s">
        <v>44</v>
      </c>
      <c r="B10" s="13" t="n">
        <v>40000</v>
      </c>
      <c r="C10" s="14" t="s">
        <v>45</v>
      </c>
    </row>
    <row r="11" customFormat="false" ht="15" hidden="false" customHeight="false" outlineLevel="0" collapsed="false">
      <c r="A11" s="12" t="s">
        <v>46</v>
      </c>
      <c r="B11" s="13" t="n">
        <v>5</v>
      </c>
      <c r="C11" s="14" t="s">
        <v>47</v>
      </c>
    </row>
    <row r="12" customFormat="false" ht="15" hidden="false" customHeight="false" outlineLevel="0" collapsed="false">
      <c r="A12" s="12" t="s">
        <v>48</v>
      </c>
      <c r="B12" s="13" t="n">
        <v>45</v>
      </c>
      <c r="C12" s="14" t="s">
        <v>49</v>
      </c>
    </row>
    <row r="13" customFormat="false" ht="15" hidden="false" customHeight="false" outlineLevel="0" collapsed="false">
      <c r="A13" s="12" t="s">
        <v>50</v>
      </c>
      <c r="B13" s="13" t="n">
        <v>30</v>
      </c>
      <c r="C13" s="14" t="s">
        <v>51</v>
      </c>
    </row>
    <row r="14" customFormat="false" ht="15" hidden="false" customHeight="false" outlineLevel="0" collapsed="false">
      <c r="A14" s="12" t="s">
        <v>52</v>
      </c>
      <c r="B14" s="15" t="n">
        <v>0.21</v>
      </c>
      <c r="C14" s="14" t="s">
        <v>53</v>
      </c>
    </row>
    <row r="15" customFormat="false" ht="15" hidden="false" customHeight="false" outlineLevel="0" collapsed="false">
      <c r="A15" s="12" t="s">
        <v>54</v>
      </c>
      <c r="B15" s="13" t="n">
        <v>85000</v>
      </c>
      <c r="C15" s="14" t="s">
        <v>55</v>
      </c>
    </row>
    <row r="16" customFormat="false" ht="15" hidden="false" customHeight="false" outlineLevel="0" collapsed="false">
      <c r="A16" s="12" t="s">
        <v>56</v>
      </c>
      <c r="B16" s="13" t="n">
        <v>6500</v>
      </c>
      <c r="C16" s="14" t="s">
        <v>57</v>
      </c>
    </row>
    <row r="17" customFormat="false" ht="15" hidden="false" customHeight="false" outlineLevel="0" collapsed="false">
      <c r="A17" s="12" t="s">
        <v>58</v>
      </c>
      <c r="B17" s="15" t="n">
        <v>0.16</v>
      </c>
      <c r="C17" s="14" t="s">
        <v>59</v>
      </c>
    </row>
    <row r="18" customFormat="false" ht="15" hidden="false" customHeight="false" outlineLevel="0" collapsed="false">
      <c r="A18" s="12" t="s">
        <v>60</v>
      </c>
      <c r="B18" s="13" t="n">
        <v>380000</v>
      </c>
      <c r="C18" s="14" t="s">
        <v>61</v>
      </c>
    </row>
    <row r="19" customFormat="false" ht="15" hidden="false" customHeight="false" outlineLevel="0" collapsed="false">
      <c r="A19" s="12" t="s">
        <v>62</v>
      </c>
      <c r="B19" s="13" t="n">
        <v>120000</v>
      </c>
      <c r="C19" s="14" t="s">
        <v>63</v>
      </c>
    </row>
    <row r="21" customFormat="false" ht="15" hidden="false" customHeight="false" outlineLevel="0" collapsed="false">
      <c r="A21" s="16" t="s">
        <v>64</v>
      </c>
    </row>
    <row r="22" customFormat="false" ht="15" hidden="false" customHeight="false" outlineLevel="0" collapsed="false">
      <c r="A22" s="12" t="s">
        <v>65</v>
      </c>
      <c r="B22" s="17" t="n">
        <f aca="false">ROUND(B12/30,0)</f>
        <v>2</v>
      </c>
    </row>
    <row r="23" customFormat="false" ht="15" hidden="false" customHeight="false" outlineLevel="0" collapsed="false">
      <c r="A23" s="12" t="s">
        <v>66</v>
      </c>
      <c r="B23" s="17" t="n">
        <f aca="false">ROUND(B13/30,0)</f>
        <v>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2"/>
    <col collapsed="false" customWidth="true" hidden="false" outlineLevel="0" max="14" min="2" style="1" width="12.5"/>
  </cols>
  <sheetData>
    <row r="1" customFormat="false" ht="25.5" hidden="false" customHeight="true" outlineLevel="0" collapsed="false">
      <c r="A1" s="8" t="s">
        <v>67</v>
      </c>
    </row>
    <row r="2" customFormat="false" ht="15.75" hidden="false" customHeight="true" outlineLevel="0" collapsed="false">
      <c r="A2" s="9" t="s">
        <v>68</v>
      </c>
    </row>
    <row r="4" customFormat="false" ht="30" hidden="false" customHeight="true" outlineLevel="0" collapsed="false">
      <c r="A4" s="10" t="s">
        <v>69</v>
      </c>
      <c r="B4" s="11" t="s">
        <v>70</v>
      </c>
      <c r="C4" s="11" t="s">
        <v>71</v>
      </c>
      <c r="D4" s="11" t="s">
        <v>72</v>
      </c>
      <c r="E4" s="11" t="s">
        <v>73</v>
      </c>
      <c r="F4" s="11" t="s">
        <v>74</v>
      </c>
      <c r="G4" s="11" t="s">
        <v>75</v>
      </c>
      <c r="H4" s="11" t="s">
        <v>76</v>
      </c>
      <c r="I4" s="11" t="s">
        <v>77</v>
      </c>
      <c r="J4" s="11" t="s">
        <v>78</v>
      </c>
      <c r="K4" s="11" t="s">
        <v>79</v>
      </c>
      <c r="L4" s="11" t="s">
        <v>80</v>
      </c>
      <c r="M4" s="11" t="s">
        <v>81</v>
      </c>
      <c r="N4" s="11" t="s">
        <v>82</v>
      </c>
    </row>
    <row r="5" customFormat="false" ht="15" hidden="false" customHeight="false" outlineLevel="0" collapsed="false">
      <c r="A5" s="18" t="s">
        <v>83</v>
      </c>
      <c r="B5" s="19" t="n">
        <f aca="false">Ipoteze!$B$5*Ipoteze!$B$7</f>
        <v>180000</v>
      </c>
      <c r="C5" s="19" t="n">
        <f aca="false">B5*(1+Ipoteze!$B$6)</f>
        <v>183600</v>
      </c>
      <c r="D5" s="19" t="n">
        <f aca="false">C5*(1+Ipoteze!$B$6)</f>
        <v>187272</v>
      </c>
      <c r="E5" s="19" t="n">
        <f aca="false">D5*(1+Ipoteze!$B$6)</f>
        <v>191017.44</v>
      </c>
      <c r="F5" s="19" t="n">
        <f aca="false">E5*(1+Ipoteze!$B$6)</f>
        <v>194837.7888</v>
      </c>
      <c r="G5" s="19" t="n">
        <f aca="false">F5*(1+Ipoteze!$B$6)</f>
        <v>198734.544576</v>
      </c>
      <c r="H5" s="19" t="n">
        <f aca="false">G5*(1+Ipoteze!$B$6)</f>
        <v>202709.23546752</v>
      </c>
      <c r="I5" s="19" t="n">
        <f aca="false">H5*(1+Ipoteze!$B$6)</f>
        <v>206763.42017687</v>
      </c>
      <c r="J5" s="19" t="n">
        <f aca="false">I5*(1+Ipoteze!$B$6)</f>
        <v>210898.688580408</v>
      </c>
      <c r="K5" s="19" t="n">
        <f aca="false">J5*(1+Ipoteze!$B$6)</f>
        <v>215116.662352016</v>
      </c>
      <c r="L5" s="19" t="n">
        <f aca="false">K5*(1+Ipoteze!$B$6)</f>
        <v>219418.995599056</v>
      </c>
      <c r="M5" s="19" t="n">
        <f aca="false">L5*(1+Ipoteze!$B$6)</f>
        <v>223807.375511037</v>
      </c>
      <c r="N5" s="20" t="n">
        <f aca="false">SUM(B5:M5)</f>
        <v>2414176.15106291</v>
      </c>
    </row>
    <row r="6" customFormat="false" ht="15" hidden="false" customHeight="false" outlineLevel="0" collapsed="false">
      <c r="A6" s="21" t="s">
        <v>84</v>
      </c>
      <c r="B6" s="17" t="n">
        <f aca="false">B5*(1-Ipoteze!$B$8)</f>
        <v>100800</v>
      </c>
      <c r="C6" s="17" t="n">
        <f aca="false">C5*(1-Ipoteze!$B$8)</f>
        <v>102816</v>
      </c>
      <c r="D6" s="17" t="n">
        <f aca="false">D5*(1-Ipoteze!$B$8)</f>
        <v>104872.32</v>
      </c>
      <c r="E6" s="17" t="n">
        <f aca="false">E5*(1-Ipoteze!$B$8)</f>
        <v>106969.7664</v>
      </c>
      <c r="F6" s="17" t="n">
        <f aca="false">F5*(1-Ipoteze!$B$8)</f>
        <v>109109.161728</v>
      </c>
      <c r="G6" s="17" t="n">
        <f aca="false">G5*(1-Ipoteze!$B$8)</f>
        <v>111291.34496256</v>
      </c>
      <c r="H6" s="17" t="n">
        <f aca="false">H5*(1-Ipoteze!$B$8)</f>
        <v>113517.171861811</v>
      </c>
      <c r="I6" s="17" t="n">
        <f aca="false">I5*(1-Ipoteze!$B$8)</f>
        <v>115787.515299047</v>
      </c>
      <c r="J6" s="17" t="n">
        <f aca="false">J5*(1-Ipoteze!$B$8)</f>
        <v>118103.265605028</v>
      </c>
      <c r="K6" s="17" t="n">
        <f aca="false">K5*(1-Ipoteze!$B$8)</f>
        <v>120465.330917129</v>
      </c>
      <c r="L6" s="17" t="n">
        <f aca="false">L5*(1-Ipoteze!$B$8)</f>
        <v>122874.637535472</v>
      </c>
      <c r="M6" s="17" t="n">
        <f aca="false">M5*(1-Ipoteze!$B$8)</f>
        <v>125332.130286181</v>
      </c>
      <c r="N6" s="20" t="n">
        <f aca="false">SUM(B6:M6)</f>
        <v>1351938.64459523</v>
      </c>
    </row>
    <row r="7" customFormat="false" ht="15" hidden="false" customHeight="false" outlineLevel="0" collapsed="false">
      <c r="A7" s="22" t="s">
        <v>85</v>
      </c>
      <c r="B7" s="20" t="n">
        <f aca="false">B5-B6</f>
        <v>79200</v>
      </c>
      <c r="C7" s="20" t="n">
        <f aca="false">C5-C6</f>
        <v>80784</v>
      </c>
      <c r="D7" s="20" t="n">
        <f aca="false">D5-D6</f>
        <v>82399.68</v>
      </c>
      <c r="E7" s="20" t="n">
        <f aca="false">E5-E6</f>
        <v>84047.6736</v>
      </c>
      <c r="F7" s="20" t="n">
        <f aca="false">F5-F6</f>
        <v>85728.627072</v>
      </c>
      <c r="G7" s="20" t="n">
        <f aca="false">G5-G6</f>
        <v>87443.19961344</v>
      </c>
      <c r="H7" s="20" t="n">
        <f aca="false">H5-H6</f>
        <v>89192.0636057088</v>
      </c>
      <c r="I7" s="20" t="n">
        <f aca="false">I5-I6</f>
        <v>90975.904877823</v>
      </c>
      <c r="J7" s="20" t="n">
        <f aca="false">J5-J6</f>
        <v>92795.4229753794</v>
      </c>
      <c r="K7" s="20" t="n">
        <f aca="false">K5-K6</f>
        <v>94651.331434887</v>
      </c>
      <c r="L7" s="20" t="n">
        <f aca="false">L5-L6</f>
        <v>96544.3580635848</v>
      </c>
      <c r="M7" s="20" t="n">
        <f aca="false">M5-M6</f>
        <v>98475.2452248565</v>
      </c>
      <c r="N7" s="20" t="n">
        <f aca="false">SUM(B7:M7)</f>
        <v>1062237.50646768</v>
      </c>
    </row>
    <row r="8" customFormat="false" ht="15" hidden="false" customHeight="false" outlineLevel="0" collapsed="false">
      <c r="A8" s="21" t="s">
        <v>86</v>
      </c>
      <c r="B8" s="17" t="n">
        <f aca="false">Ipoteze!$B$9</f>
        <v>62000</v>
      </c>
      <c r="C8" s="17" t="n">
        <f aca="false">Ipoteze!$B$9</f>
        <v>62000</v>
      </c>
      <c r="D8" s="17" t="n">
        <f aca="false">Ipoteze!$B$9</f>
        <v>62000</v>
      </c>
      <c r="E8" s="17" t="n">
        <f aca="false">Ipoteze!$B$9</f>
        <v>62000</v>
      </c>
      <c r="F8" s="17" t="n">
        <f aca="false">Ipoteze!$B$9</f>
        <v>62000</v>
      </c>
      <c r="G8" s="17" t="n">
        <f aca="false">Ipoteze!$B$9</f>
        <v>62000</v>
      </c>
      <c r="H8" s="17" t="n">
        <f aca="false">Ipoteze!$B$9</f>
        <v>62000</v>
      </c>
      <c r="I8" s="17" t="n">
        <f aca="false">Ipoteze!$B$9</f>
        <v>62000</v>
      </c>
      <c r="J8" s="17" t="n">
        <f aca="false">Ipoteze!$B$9</f>
        <v>62000</v>
      </c>
      <c r="K8" s="17" t="n">
        <f aca="false">Ipoteze!$B$9</f>
        <v>62000</v>
      </c>
      <c r="L8" s="17" t="n">
        <f aca="false">Ipoteze!$B$9</f>
        <v>62000</v>
      </c>
      <c r="M8" s="17" t="n">
        <f aca="false">Ipoteze!$B$9</f>
        <v>62000</v>
      </c>
      <c r="N8" s="20" t="n">
        <f aca="false">SUM(B8:M8)</f>
        <v>744000</v>
      </c>
    </row>
    <row r="9" customFormat="false" ht="15" hidden="false" customHeight="false" outlineLevel="0" collapsed="false">
      <c r="A9" s="23" t="s">
        <v>87</v>
      </c>
      <c r="B9" s="24" t="n">
        <f aca="false">B7-B8</f>
        <v>17200</v>
      </c>
      <c r="C9" s="24" t="n">
        <f aca="false">C7-C8</f>
        <v>18784</v>
      </c>
      <c r="D9" s="24" t="n">
        <f aca="false">D7-D8</f>
        <v>20399.68</v>
      </c>
      <c r="E9" s="24" t="n">
        <f aca="false">E7-E8</f>
        <v>22047.6736</v>
      </c>
      <c r="F9" s="24" t="n">
        <f aca="false">F7-F8</f>
        <v>23728.627072</v>
      </c>
      <c r="G9" s="24" t="n">
        <f aca="false">G7-G8</f>
        <v>25443.19961344</v>
      </c>
      <c r="H9" s="24" t="n">
        <f aca="false">H7-H8</f>
        <v>27192.0636057088</v>
      </c>
      <c r="I9" s="24" t="n">
        <f aca="false">I7-I8</f>
        <v>28975.904877823</v>
      </c>
      <c r="J9" s="24" t="n">
        <f aca="false">J7-J8</f>
        <v>30795.4229753794</v>
      </c>
      <c r="K9" s="24" t="n">
        <f aca="false">K7-K8</f>
        <v>32651.331434887</v>
      </c>
      <c r="L9" s="24" t="n">
        <f aca="false">L7-L8</f>
        <v>34544.3580635848</v>
      </c>
      <c r="M9" s="24" t="n">
        <f aca="false">M7-M8</f>
        <v>36475.2452248565</v>
      </c>
      <c r="N9" s="20" t="n">
        <f aca="false">SUM(B9:M9)</f>
        <v>318237.506467679</v>
      </c>
    </row>
    <row r="10" customFormat="false" ht="15" hidden="false" customHeight="false" outlineLevel="0" collapsed="false">
      <c r="A10" s="21" t="s">
        <v>88</v>
      </c>
      <c r="B10" s="17" t="n">
        <f aca="false">IF(B9&gt;0,B9*Ipoteze!$B$17,0)</f>
        <v>2752</v>
      </c>
      <c r="C10" s="17" t="n">
        <f aca="false">IF(C9&gt;0,C9*Ipoteze!$B$17,0)</f>
        <v>3005.44</v>
      </c>
      <c r="D10" s="17" t="n">
        <f aca="false">IF(D9&gt;0,D9*Ipoteze!$B$17,0)</f>
        <v>3263.9488</v>
      </c>
      <c r="E10" s="17" t="n">
        <f aca="false">IF(E9&gt;0,E9*Ipoteze!$B$17,0)</f>
        <v>3527.627776</v>
      </c>
      <c r="F10" s="17" t="n">
        <f aca="false">IF(F9&gt;0,F9*Ipoteze!$B$17,0)</f>
        <v>3796.58033152</v>
      </c>
      <c r="G10" s="17" t="n">
        <f aca="false">IF(G9&gt;0,G9*Ipoteze!$B$17,0)</f>
        <v>4070.9119381504</v>
      </c>
      <c r="H10" s="17" t="n">
        <f aca="false">IF(H9&gt;0,H9*Ipoteze!$B$17,0)</f>
        <v>4350.73017691341</v>
      </c>
      <c r="I10" s="17" t="n">
        <f aca="false">IF(I9&gt;0,I9*Ipoteze!$B$17,0)</f>
        <v>4636.14478045168</v>
      </c>
      <c r="J10" s="17" t="n">
        <f aca="false">IF(J9&gt;0,J9*Ipoteze!$B$17,0)</f>
        <v>4927.26767606071</v>
      </c>
      <c r="K10" s="17" t="n">
        <f aca="false">IF(K9&gt;0,K9*Ipoteze!$B$17,0)</f>
        <v>5224.21302958193</v>
      </c>
      <c r="L10" s="17" t="n">
        <f aca="false">IF(L9&gt;0,L9*Ipoteze!$B$17,0)</f>
        <v>5527.09729017356</v>
      </c>
      <c r="M10" s="17" t="n">
        <f aca="false">IF(M9&gt;0,M9*Ipoteze!$B$17,0)</f>
        <v>5836.03923597704</v>
      </c>
      <c r="N10" s="20" t="n">
        <f aca="false">SUM(B10:M10)</f>
        <v>50918.0010348287</v>
      </c>
    </row>
    <row r="11" customFormat="false" ht="15" hidden="false" customHeight="false" outlineLevel="0" collapsed="false">
      <c r="A11" s="23" t="s">
        <v>89</v>
      </c>
      <c r="B11" s="24" t="n">
        <f aca="false">B9-B10</f>
        <v>14448</v>
      </c>
      <c r="C11" s="24" t="n">
        <f aca="false">C9-C10</f>
        <v>15778.56</v>
      </c>
      <c r="D11" s="24" t="n">
        <f aca="false">D9-D10</f>
        <v>17135.7312</v>
      </c>
      <c r="E11" s="24" t="n">
        <f aca="false">E9-E10</f>
        <v>18520.045824</v>
      </c>
      <c r="F11" s="24" t="n">
        <f aca="false">F9-F10</f>
        <v>19932.04674048</v>
      </c>
      <c r="G11" s="24" t="n">
        <f aca="false">G9-G10</f>
        <v>21372.2876752896</v>
      </c>
      <c r="H11" s="24" t="n">
        <f aca="false">H9-H10</f>
        <v>22841.3334287954</v>
      </c>
      <c r="I11" s="24" t="n">
        <f aca="false">I9-I10</f>
        <v>24339.7600973713</v>
      </c>
      <c r="J11" s="24" t="n">
        <f aca="false">J9-J10</f>
        <v>25868.1552993187</v>
      </c>
      <c r="K11" s="24" t="n">
        <f aca="false">K9-K10</f>
        <v>27427.1184053051</v>
      </c>
      <c r="L11" s="24" t="n">
        <f aca="false">L9-L10</f>
        <v>29017.2607734112</v>
      </c>
      <c r="M11" s="24" t="n">
        <f aca="false">M9-M10</f>
        <v>30639.2059888794</v>
      </c>
      <c r="N11" s="20" t="n">
        <f aca="false">SUM(B11:M11)</f>
        <v>267319.505432851</v>
      </c>
    </row>
    <row r="12" customFormat="false" ht="15" hidden="false" customHeight="false" outlineLevel="0" collapsed="false">
      <c r="A12" s="21" t="s">
        <v>90</v>
      </c>
      <c r="B12" s="25" t="n">
        <f aca="false">IFERROR(B11/B5,0)</f>
        <v>0.0802666666666666</v>
      </c>
      <c r="C12" s="25" t="n">
        <f aca="false">IFERROR(C11/C5,0)</f>
        <v>0.0859398692810457</v>
      </c>
      <c r="D12" s="25" t="n">
        <f aca="false">IFERROR(D11/D5,0)</f>
        <v>0.0915018326284762</v>
      </c>
      <c r="E12" s="25" t="n">
        <f aca="false">IFERROR(E11/E5,0)</f>
        <v>0.0969547378710551</v>
      </c>
      <c r="F12" s="25" t="n">
        <f aca="false">IFERROR(F11/F5,0)</f>
        <v>0.102300723402995</v>
      </c>
      <c r="G12" s="25" t="n">
        <f aca="false">IFERROR(G11/G5,0)</f>
        <v>0.107541885689211</v>
      </c>
      <c r="H12" s="25" t="n">
        <f aca="false">IFERROR(H11/H5,0)</f>
        <v>0.112680280087462</v>
      </c>
      <c r="I12" s="25" t="n">
        <f aca="false">IFERROR(I11/I5,0)</f>
        <v>0.117717921654374</v>
      </c>
      <c r="J12" s="25" t="n">
        <f aca="false">IFERROR(J11/J5,0)</f>
        <v>0.122656785935661</v>
      </c>
      <c r="K12" s="25" t="n">
        <f aca="false">IFERROR(K11/K5,0)</f>
        <v>0.127498809740844</v>
      </c>
      <c r="L12" s="25" t="n">
        <f aca="false">IFERROR(L11/L5,0)</f>
        <v>0.132245891902788</v>
      </c>
      <c r="M12" s="25" t="n">
        <f aca="false">IFERROR(M11/M5,0)</f>
        <v>0.136899894022342</v>
      </c>
      <c r="N12" s="26" t="n">
        <f aca="false">IFERROR(N11/N5,0)</f>
        <v>0.110729080525112</v>
      </c>
    </row>
    <row r="14" customFormat="false" ht="15" hidden="false" customHeight="false" outlineLevel="0" collapsed="false">
      <c r="A14" s="27" t="s">
        <v>91</v>
      </c>
    </row>
  </sheetData>
  <conditionalFormatting sqref="B11:M11">
    <cfRule type="cellIs" priority="2" operator="lessThan" aboveAverage="0" equalAverage="0" bottom="0" percent="0" rank="0" text="" dxfId="0">
      <formula>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4"/>
    <col collapsed="false" customWidth="true" hidden="false" outlineLevel="0" max="14" min="2" style="1" width="12.5"/>
  </cols>
  <sheetData>
    <row r="1" customFormat="false" ht="25.5" hidden="false" customHeight="true" outlineLevel="0" collapsed="false">
      <c r="A1" s="8" t="s">
        <v>92</v>
      </c>
    </row>
    <row r="2" customFormat="false" ht="15.75" hidden="false" customHeight="true" outlineLevel="0" collapsed="false">
      <c r="A2" s="9" t="s">
        <v>93</v>
      </c>
    </row>
    <row r="4" customFormat="false" ht="30" hidden="false" customHeight="true" outlineLevel="0" collapsed="false">
      <c r="A4" s="10" t="s">
        <v>94</v>
      </c>
      <c r="B4" s="11" t="s">
        <v>70</v>
      </c>
      <c r="C4" s="11" t="s">
        <v>71</v>
      </c>
      <c r="D4" s="11" t="s">
        <v>72</v>
      </c>
      <c r="E4" s="11" t="s">
        <v>73</v>
      </c>
      <c r="F4" s="11" t="s">
        <v>74</v>
      </c>
      <c r="G4" s="11" t="s">
        <v>75</v>
      </c>
      <c r="H4" s="11" t="s">
        <v>76</v>
      </c>
      <c r="I4" s="11" t="s">
        <v>77</v>
      </c>
      <c r="J4" s="11" t="s">
        <v>78</v>
      </c>
      <c r="K4" s="11" t="s">
        <v>79</v>
      </c>
      <c r="L4" s="11" t="s">
        <v>80</v>
      </c>
      <c r="M4" s="11" t="s">
        <v>81</v>
      </c>
      <c r="N4" s="11" t="s">
        <v>82</v>
      </c>
    </row>
    <row r="5" customFormat="false" ht="15" hidden="false" customHeight="false" outlineLevel="0" collapsed="false">
      <c r="A5" s="28" t="s">
        <v>95</v>
      </c>
      <c r="B5" s="29" t="n">
        <f aca="false">Ipoteze!$B$15</f>
        <v>85000</v>
      </c>
      <c r="C5" s="29" t="n">
        <f aca="false">B18</f>
        <v>83748</v>
      </c>
      <c r="D5" s="29" t="n">
        <f aca="false">C18</f>
        <v>63642.56</v>
      </c>
      <c r="E5" s="29" t="n">
        <f aca="false">D18</f>
        <v>68306.6112</v>
      </c>
      <c r="F5" s="29" t="n">
        <f aca="false">E18</f>
        <v>74235.543424</v>
      </c>
      <c r="G5" s="29" t="n">
        <f aca="false">F18</f>
        <v>41454.65429248</v>
      </c>
      <c r="H5" s="29" t="n">
        <f aca="false">G18</f>
        <v>49989.7473783296</v>
      </c>
      <c r="I5" s="29" t="n">
        <f aca="false">H18</f>
        <v>59867.1423258962</v>
      </c>
      <c r="J5" s="29" t="n">
        <f aca="false">I18</f>
        <v>71113.6851724141</v>
      </c>
      <c r="K5" s="29" t="n">
        <f aca="false">J18</f>
        <v>83756.7588758623</v>
      </c>
      <c r="L5" s="29" t="n">
        <f aca="false">K18</f>
        <v>97824.2940533795</v>
      </c>
      <c r="M5" s="29" t="n">
        <f aca="false">L18</f>
        <v>113344.779934447</v>
      </c>
      <c r="N5" s="20" t="n">
        <f aca="false">B5</f>
        <v>85000</v>
      </c>
    </row>
    <row r="6" customFormat="false" ht="15" hidden="false" customHeight="false" outlineLevel="0" collapsed="false">
      <c r="A6" s="21" t="s">
        <v>96</v>
      </c>
      <c r="B6" s="17" t="n">
        <f aca="false">IF(1-Ipoteze!$B$22&gt;=1,INDEX('Previziune profit'!$B$5:$M$5,1-Ipoteze!$B$22)*(1+Ipoteze!$B$14),0)</f>
        <v>0</v>
      </c>
      <c r="C6" s="17" t="n">
        <f aca="false">IF(2-Ipoteze!$B$22&gt;=1,INDEX('Previziune profit'!$B$5:$M$5,2-Ipoteze!$B$22)*(1+Ipoteze!$B$14),0)</f>
        <v>0</v>
      </c>
      <c r="D6" s="17" t="n">
        <f aca="false">IF(3-Ipoteze!$B$22&gt;=1,INDEX('Previziune profit'!$B$5:$M$5,3-Ipoteze!$B$22)*(1+Ipoteze!$B$14),0)</f>
        <v>217800</v>
      </c>
      <c r="E6" s="17" t="n">
        <f aca="false">IF(4-Ipoteze!$B$22&gt;=1,INDEX('Previziune profit'!$B$5:$M$5,4-Ipoteze!$B$22)*(1+Ipoteze!$B$14),0)</f>
        <v>222156</v>
      </c>
      <c r="F6" s="17" t="n">
        <f aca="false">IF(5-Ipoteze!$B$22&gt;=1,INDEX('Previziune profit'!$B$5:$M$5,5-Ipoteze!$B$22)*(1+Ipoteze!$B$14),0)</f>
        <v>226599.12</v>
      </c>
      <c r="G6" s="17" t="n">
        <f aca="false">IF(6-Ipoteze!$B$22&gt;=1,INDEX('Previziune profit'!$B$5:$M$5,6-Ipoteze!$B$22)*(1+Ipoteze!$B$14),0)</f>
        <v>231131.1024</v>
      </c>
      <c r="H6" s="17" t="n">
        <f aca="false">IF(7-Ipoteze!$B$22&gt;=1,INDEX('Previziune profit'!$B$5:$M$5,7-Ipoteze!$B$22)*(1+Ipoteze!$B$14),0)</f>
        <v>235753.724448</v>
      </c>
      <c r="I6" s="17" t="n">
        <f aca="false">IF(8-Ipoteze!$B$22&gt;=1,INDEX('Previziune profit'!$B$5:$M$5,8-Ipoteze!$B$22)*(1+Ipoteze!$B$14),0)</f>
        <v>240468.79893696</v>
      </c>
      <c r="J6" s="17" t="n">
        <f aca="false">IF(9-Ipoteze!$B$22&gt;=1,INDEX('Previziune profit'!$B$5:$M$5,9-Ipoteze!$B$22)*(1+Ipoteze!$B$14),0)</f>
        <v>245278.174915699</v>
      </c>
      <c r="K6" s="17" t="n">
        <f aca="false">IF(10-Ipoteze!$B$22&gt;=1,INDEX('Previziune profit'!$B$5:$M$5,10-Ipoteze!$B$22)*(1+Ipoteze!$B$14),0)</f>
        <v>250183.738414013</v>
      </c>
      <c r="L6" s="17" t="n">
        <f aca="false">IF(11-Ipoteze!$B$22&gt;=1,INDEX('Previziune profit'!$B$5:$M$5,11-Ipoteze!$B$22)*(1+Ipoteze!$B$14),0)</f>
        <v>255187.413182294</v>
      </c>
      <c r="M6" s="17" t="n">
        <f aca="false">IF(12-Ipoteze!$B$22&gt;=1,INDEX('Previziune profit'!$B$5:$M$5,12-Ipoteze!$B$22)*(1+Ipoteze!$B$14),0)</f>
        <v>260291.161445939</v>
      </c>
      <c r="N6" s="20" t="n">
        <f aca="false">SUM(B6:M6)</f>
        <v>2384849.23374291</v>
      </c>
    </row>
    <row r="7" customFormat="false" ht="15" hidden="false" customHeight="false" outlineLevel="0" collapsed="false">
      <c r="A7" s="21" t="s">
        <v>97</v>
      </c>
      <c r="B7" s="17" t="n">
        <f aca="false">IF(1&lt;=Ipoteze!$B$22,IFERROR(Ipoteze!$B$18/Ipoteze!$B$22,0),0)</f>
        <v>190000</v>
      </c>
      <c r="C7" s="17" t="n">
        <f aca="false">IF(2&lt;=Ipoteze!$B$22,IFERROR(Ipoteze!$B$18/Ipoteze!$B$22,0),0)</f>
        <v>190000</v>
      </c>
      <c r="D7" s="17" t="n">
        <f aca="false">IF(3&lt;=Ipoteze!$B$22,IFERROR(Ipoteze!$B$18/Ipoteze!$B$22,0),0)</f>
        <v>0</v>
      </c>
      <c r="E7" s="17" t="n">
        <f aca="false">IF(4&lt;=Ipoteze!$B$22,IFERROR(Ipoteze!$B$18/Ipoteze!$B$22,0),0)</f>
        <v>0</v>
      </c>
      <c r="F7" s="17" t="n">
        <f aca="false">IF(5&lt;=Ipoteze!$B$22,IFERROR(Ipoteze!$B$18/Ipoteze!$B$22,0),0)</f>
        <v>0</v>
      </c>
      <c r="G7" s="17" t="n">
        <f aca="false">IF(6&lt;=Ipoteze!$B$22,IFERROR(Ipoteze!$B$18/Ipoteze!$B$22,0),0)</f>
        <v>0</v>
      </c>
      <c r="H7" s="17" t="n">
        <f aca="false">IF(7&lt;=Ipoteze!$B$22,IFERROR(Ipoteze!$B$18/Ipoteze!$B$22,0),0)</f>
        <v>0</v>
      </c>
      <c r="I7" s="17" t="n">
        <f aca="false">IF(8&lt;=Ipoteze!$B$22,IFERROR(Ipoteze!$B$18/Ipoteze!$B$22,0),0)</f>
        <v>0</v>
      </c>
      <c r="J7" s="17" t="n">
        <f aca="false">IF(9&lt;=Ipoteze!$B$22,IFERROR(Ipoteze!$B$18/Ipoteze!$B$22,0),0)</f>
        <v>0</v>
      </c>
      <c r="K7" s="17" t="n">
        <f aca="false">IF(10&lt;=Ipoteze!$B$22,IFERROR(Ipoteze!$B$18/Ipoteze!$B$22,0),0)</f>
        <v>0</v>
      </c>
      <c r="L7" s="17" t="n">
        <f aca="false">IF(11&lt;=Ipoteze!$B$22,IFERROR(Ipoteze!$B$18/Ipoteze!$B$22,0),0)</f>
        <v>0</v>
      </c>
      <c r="M7" s="17" t="n">
        <f aca="false">IF(12&lt;=Ipoteze!$B$22,IFERROR(Ipoteze!$B$18/Ipoteze!$B$22,0),0)</f>
        <v>0</v>
      </c>
      <c r="N7" s="20" t="n">
        <f aca="false">SUM(B7:M7)</f>
        <v>380000</v>
      </c>
    </row>
    <row r="8" customFormat="false" ht="15" hidden="false" customHeight="false" outlineLevel="0" collapsed="false">
      <c r="A8" s="22" t="s">
        <v>98</v>
      </c>
      <c r="B8" s="20" t="n">
        <f aca="false">B6+B7</f>
        <v>190000</v>
      </c>
      <c r="C8" s="20" t="n">
        <f aca="false">C6+C7</f>
        <v>190000</v>
      </c>
      <c r="D8" s="20" t="n">
        <f aca="false">D6+D7</f>
        <v>217800</v>
      </c>
      <c r="E8" s="20" t="n">
        <f aca="false">E6+E7</f>
        <v>222156</v>
      </c>
      <c r="F8" s="20" t="n">
        <f aca="false">F6+F7</f>
        <v>226599.12</v>
      </c>
      <c r="G8" s="20" t="n">
        <f aca="false">G6+G7</f>
        <v>231131.1024</v>
      </c>
      <c r="H8" s="20" t="n">
        <f aca="false">H6+H7</f>
        <v>235753.724448</v>
      </c>
      <c r="I8" s="20" t="n">
        <f aca="false">I6+I7</f>
        <v>240468.79893696</v>
      </c>
      <c r="J8" s="20" t="n">
        <f aca="false">J6+J7</f>
        <v>245278.174915699</v>
      </c>
      <c r="K8" s="20" t="n">
        <f aca="false">K6+K7</f>
        <v>250183.738414013</v>
      </c>
      <c r="L8" s="20" t="n">
        <f aca="false">L6+L7</f>
        <v>255187.413182294</v>
      </c>
      <c r="M8" s="20" t="n">
        <f aca="false">M6+M7</f>
        <v>260291.161445939</v>
      </c>
      <c r="N8" s="20" t="n">
        <f aca="false">SUM(B8:M8)</f>
        <v>2764849.23374291</v>
      </c>
    </row>
    <row r="9" customFormat="false" ht="15" hidden="false" customHeight="false" outlineLevel="0" collapsed="false">
      <c r="A9" s="21" t="s">
        <v>99</v>
      </c>
      <c r="B9" s="17" t="n">
        <f aca="false">IF(1-Ipoteze!$B$23&gt;=1,INDEX('Previziune profit'!$B$6:$M$6,1-Ipoteze!$B$23)*(1+Ipoteze!$B$14),0)</f>
        <v>0</v>
      </c>
      <c r="C9" s="17" t="n">
        <f aca="false">IF(2-Ipoteze!$B$23&gt;=1,INDEX('Previziune profit'!$B$6:$M$6,2-Ipoteze!$B$23)*(1+Ipoteze!$B$14),0)</f>
        <v>121968</v>
      </c>
      <c r="D9" s="17" t="n">
        <f aca="false">IF(3-Ipoteze!$B$23&gt;=1,INDEX('Previziune profit'!$B$6:$M$6,3-Ipoteze!$B$23)*(1+Ipoteze!$B$14),0)</f>
        <v>124407.36</v>
      </c>
      <c r="E9" s="17" t="n">
        <f aca="false">IF(4-Ipoteze!$B$23&gt;=1,INDEX('Previziune profit'!$B$6:$M$6,4-Ipoteze!$B$23)*(1+Ipoteze!$B$14),0)</f>
        <v>126895.5072</v>
      </c>
      <c r="F9" s="17" t="n">
        <f aca="false">IF(5-Ipoteze!$B$23&gt;=1,INDEX('Previziune profit'!$B$6:$M$6,5-Ipoteze!$B$23)*(1+Ipoteze!$B$14),0)</f>
        <v>129433.417344</v>
      </c>
      <c r="G9" s="17" t="n">
        <f aca="false">IF(6-Ipoteze!$B$23&gt;=1,INDEX('Previziune profit'!$B$6:$M$6,6-Ipoteze!$B$23)*(1+Ipoteze!$B$14),0)</f>
        <v>132022.08569088</v>
      </c>
      <c r="H9" s="17" t="n">
        <f aca="false">IF(7-Ipoteze!$B$23&gt;=1,INDEX('Previziune profit'!$B$6:$M$6,7-Ipoteze!$B$23)*(1+Ipoteze!$B$14),0)</f>
        <v>134662.527404698</v>
      </c>
      <c r="I9" s="17" t="n">
        <f aca="false">IF(8-Ipoteze!$B$23&gt;=1,INDEX('Previziune profit'!$B$6:$M$6,8-Ipoteze!$B$23)*(1+Ipoteze!$B$14),0)</f>
        <v>137355.777952792</v>
      </c>
      <c r="J9" s="17" t="n">
        <f aca="false">IF(9-Ipoteze!$B$23&gt;=1,INDEX('Previziune profit'!$B$6:$M$6,9-Ipoteze!$B$23)*(1+Ipoteze!$B$14),0)</f>
        <v>140102.893511847</v>
      </c>
      <c r="K9" s="17" t="n">
        <f aca="false">IF(10-Ipoteze!$B$23&gt;=1,INDEX('Previziune profit'!$B$6:$M$6,10-Ipoteze!$B$23)*(1+Ipoteze!$B$14),0)</f>
        <v>142904.951382084</v>
      </c>
      <c r="L9" s="17" t="n">
        <f aca="false">IF(11-Ipoteze!$B$23&gt;=1,INDEX('Previziune profit'!$B$6:$M$6,11-Ipoteze!$B$23)*(1+Ipoteze!$B$14),0)</f>
        <v>145763.050409726</v>
      </c>
      <c r="M9" s="17" t="n">
        <f aca="false">IF(12-Ipoteze!$B$23&gt;=1,INDEX('Previziune profit'!$B$6:$M$6,12-Ipoteze!$B$23)*(1+Ipoteze!$B$14),0)</f>
        <v>148678.311417921</v>
      </c>
      <c r="N9" s="20" t="n">
        <f aca="false">SUM(B9:M9)</f>
        <v>1484193.88231395</v>
      </c>
    </row>
    <row r="10" customFormat="false" ht="15" hidden="false" customHeight="false" outlineLevel="0" collapsed="false">
      <c r="A10" s="21" t="s">
        <v>100</v>
      </c>
      <c r="B10" s="17" t="n">
        <f aca="false">IF(1&lt;=MAX(Ipoteze!$B$23,1),IFERROR(Ipoteze!$B$19/MAX(Ipoteze!$B$23,1),0),0)</f>
        <v>120000</v>
      </c>
      <c r="C10" s="17" t="n">
        <f aca="false">IF(2&lt;=MAX(Ipoteze!$B$23,1),IFERROR(Ipoteze!$B$19/MAX(Ipoteze!$B$23,1),0),0)</f>
        <v>0</v>
      </c>
      <c r="D10" s="17" t="n">
        <f aca="false">IF(3&lt;=MAX(Ipoteze!$B$23,1),IFERROR(Ipoteze!$B$19/MAX(Ipoteze!$B$23,1),0),0)</f>
        <v>0</v>
      </c>
      <c r="E10" s="17" t="n">
        <f aca="false">IF(4&lt;=MAX(Ipoteze!$B$23,1),IFERROR(Ipoteze!$B$19/MAX(Ipoteze!$B$23,1),0),0)</f>
        <v>0</v>
      </c>
      <c r="F10" s="17" t="n">
        <f aca="false">IF(5&lt;=MAX(Ipoteze!$B$23,1),IFERROR(Ipoteze!$B$19/MAX(Ipoteze!$B$23,1),0),0)</f>
        <v>0</v>
      </c>
      <c r="G10" s="17" t="n">
        <f aca="false">IF(6&lt;=MAX(Ipoteze!$B$23,1),IFERROR(Ipoteze!$B$19/MAX(Ipoteze!$B$23,1),0),0)</f>
        <v>0</v>
      </c>
      <c r="H10" s="17" t="n">
        <f aca="false">IF(7&lt;=MAX(Ipoteze!$B$23,1),IFERROR(Ipoteze!$B$19/MAX(Ipoteze!$B$23,1),0),0)</f>
        <v>0</v>
      </c>
      <c r="I10" s="17" t="n">
        <f aca="false">IF(8&lt;=MAX(Ipoteze!$B$23,1),IFERROR(Ipoteze!$B$19/MAX(Ipoteze!$B$23,1),0),0)</f>
        <v>0</v>
      </c>
      <c r="J10" s="17" t="n">
        <f aca="false">IF(9&lt;=MAX(Ipoteze!$B$23,1),IFERROR(Ipoteze!$B$19/MAX(Ipoteze!$B$23,1),0),0)</f>
        <v>0</v>
      </c>
      <c r="K10" s="17" t="n">
        <f aca="false">IF(10&lt;=MAX(Ipoteze!$B$23,1),IFERROR(Ipoteze!$B$19/MAX(Ipoteze!$B$23,1),0),0)</f>
        <v>0</v>
      </c>
      <c r="L10" s="17" t="n">
        <f aca="false">IF(11&lt;=MAX(Ipoteze!$B$23,1),IFERROR(Ipoteze!$B$19/MAX(Ipoteze!$B$23,1),0),0)</f>
        <v>0</v>
      </c>
      <c r="M10" s="17" t="n">
        <f aca="false">IF(12&lt;=MAX(Ipoteze!$B$23,1),IFERROR(Ipoteze!$B$19/MAX(Ipoteze!$B$23,1),0),0)</f>
        <v>0</v>
      </c>
      <c r="N10" s="20" t="n">
        <f aca="false">SUM(B10:M10)</f>
        <v>120000</v>
      </c>
    </row>
    <row r="11" customFormat="false" ht="15" hidden="false" customHeight="false" outlineLevel="0" collapsed="false">
      <c r="A11" s="21" t="s">
        <v>101</v>
      </c>
      <c r="B11" s="17" t="n">
        <f aca="false">'Previziune profit'!B8</f>
        <v>62000</v>
      </c>
      <c r="C11" s="17" t="n">
        <f aca="false">'Previziune profit'!C8</f>
        <v>62000</v>
      </c>
      <c r="D11" s="17" t="n">
        <f aca="false">'Previziune profit'!D8</f>
        <v>62000</v>
      </c>
      <c r="E11" s="17" t="n">
        <f aca="false">'Previziune profit'!E8</f>
        <v>62000</v>
      </c>
      <c r="F11" s="17" t="n">
        <f aca="false">'Previziune profit'!F8</f>
        <v>62000</v>
      </c>
      <c r="G11" s="17" t="n">
        <f aca="false">'Previziune profit'!G8</f>
        <v>62000</v>
      </c>
      <c r="H11" s="17" t="n">
        <f aca="false">'Previziune profit'!H8</f>
        <v>62000</v>
      </c>
      <c r="I11" s="17" t="n">
        <f aca="false">'Previziune profit'!I8</f>
        <v>62000</v>
      </c>
      <c r="J11" s="17" t="n">
        <f aca="false">'Previziune profit'!J8</f>
        <v>62000</v>
      </c>
      <c r="K11" s="17" t="n">
        <f aca="false">'Previziune profit'!K8</f>
        <v>62000</v>
      </c>
      <c r="L11" s="17" t="n">
        <f aca="false">'Previziune profit'!L8</f>
        <v>62000</v>
      </c>
      <c r="M11" s="17" t="n">
        <f aca="false">'Previziune profit'!M8</f>
        <v>62000</v>
      </c>
      <c r="N11" s="20" t="n">
        <f aca="false">SUM(B11:M11)</f>
        <v>744000</v>
      </c>
    </row>
    <row r="12" customFormat="false" ht="15" hidden="false" customHeight="false" outlineLevel="0" collapsed="false">
      <c r="A12" s="21" t="s">
        <v>102</v>
      </c>
      <c r="B12" s="17" t="n">
        <f aca="false">IF(1&gt;=2,(INDEX('Previziune profit'!$B$5:$M$5,1-1)-INDEX('Previziune profit'!$B$6:$M$6,1-1))*Ipoteze!$B$14,0)</f>
        <v>0</v>
      </c>
      <c r="C12" s="17" t="n">
        <f aca="false">IF(2&gt;=2,(INDEX('Previziune profit'!$B$5:$M$5,2-1)-INDEX('Previziune profit'!$B$6:$M$6,2-1))*Ipoteze!$B$14,0)</f>
        <v>16632</v>
      </c>
      <c r="D12" s="17" t="n">
        <f aca="false">IF(3&gt;=2,(INDEX('Previziune profit'!$B$5:$M$5,3-1)-INDEX('Previziune profit'!$B$6:$M$6,3-1))*Ipoteze!$B$14,0)</f>
        <v>16964.64</v>
      </c>
      <c r="E12" s="17" t="n">
        <f aca="false">IF(4&gt;=2,(INDEX('Previziune profit'!$B$5:$M$5,4-1)-INDEX('Previziune profit'!$B$6:$M$6,4-1))*Ipoteze!$B$14,0)</f>
        <v>17303.9328</v>
      </c>
      <c r="F12" s="17" t="n">
        <f aca="false">IF(5&gt;=2,(INDEX('Previziune profit'!$B$5:$M$5,5-1)-INDEX('Previziune profit'!$B$6:$M$6,5-1))*Ipoteze!$B$14,0)</f>
        <v>17650.011456</v>
      </c>
      <c r="G12" s="17" t="n">
        <f aca="false">IF(6&gt;=2,(INDEX('Previziune profit'!$B$5:$M$5,6-1)-INDEX('Previziune profit'!$B$6:$M$6,6-1))*Ipoteze!$B$14,0)</f>
        <v>18003.01168512</v>
      </c>
      <c r="H12" s="17" t="n">
        <f aca="false">IF(7&gt;=2,(INDEX('Previziune profit'!$B$5:$M$5,7-1)-INDEX('Previziune profit'!$B$6:$M$6,7-1))*Ipoteze!$B$14,0)</f>
        <v>18363.0719188224</v>
      </c>
      <c r="I12" s="17" t="n">
        <f aca="false">IF(8&gt;=2,(INDEX('Previziune profit'!$B$5:$M$5,8-1)-INDEX('Previziune profit'!$B$6:$M$6,8-1))*Ipoteze!$B$14,0)</f>
        <v>18730.3333571988</v>
      </c>
      <c r="J12" s="17" t="n">
        <f aca="false">IF(9&gt;=2,(INDEX('Previziune profit'!$B$5:$M$5,9-1)-INDEX('Previziune profit'!$B$6:$M$6,9-1))*Ipoteze!$B$14,0)</f>
        <v>19104.9400243428</v>
      </c>
      <c r="K12" s="17" t="n">
        <f aca="false">IF(10&gt;=2,(INDEX('Previziune profit'!$B$5:$M$5,10-1)-INDEX('Previziune profit'!$B$6:$M$6,10-1))*Ipoteze!$B$14,0)</f>
        <v>19487.0388248297</v>
      </c>
      <c r="L12" s="17" t="n">
        <f aca="false">IF(11&gt;=2,(INDEX('Previziune profit'!$B$5:$M$5,11-1)-INDEX('Previziune profit'!$B$6:$M$6,11-1))*Ipoteze!$B$14,0)</f>
        <v>19876.7796013263</v>
      </c>
      <c r="M12" s="17" t="n">
        <f aca="false">IF(12&gt;=2,(INDEX('Previziune profit'!$B$5:$M$5,12-1)-INDEX('Previziune profit'!$B$6:$M$6,12-1))*Ipoteze!$B$14,0)</f>
        <v>20274.3151933528</v>
      </c>
      <c r="N12" s="20" t="n">
        <f aca="false">SUM(B12:M12)</f>
        <v>202390.074860993</v>
      </c>
    </row>
    <row r="13" customFormat="false" ht="15" hidden="false" customHeight="false" outlineLevel="0" collapsed="false">
      <c r="A13" s="21" t="s">
        <v>103</v>
      </c>
      <c r="B13" s="17" t="n">
        <f aca="false">'Previziune profit'!B10</f>
        <v>2752</v>
      </c>
      <c r="C13" s="17" t="n">
        <f aca="false">'Previziune profit'!C10</f>
        <v>3005.44</v>
      </c>
      <c r="D13" s="17" t="n">
        <f aca="false">'Previziune profit'!D10</f>
        <v>3263.9488</v>
      </c>
      <c r="E13" s="17" t="n">
        <f aca="false">'Previziune profit'!E10</f>
        <v>3527.627776</v>
      </c>
      <c r="F13" s="17" t="n">
        <f aca="false">'Previziune profit'!F10</f>
        <v>3796.58033152</v>
      </c>
      <c r="G13" s="17" t="n">
        <f aca="false">'Previziune profit'!G10</f>
        <v>4070.9119381504</v>
      </c>
      <c r="H13" s="17" t="n">
        <f aca="false">'Previziune profit'!H10</f>
        <v>4350.73017691341</v>
      </c>
      <c r="I13" s="17" t="n">
        <f aca="false">'Previziune profit'!I10</f>
        <v>4636.14478045168</v>
      </c>
      <c r="J13" s="17" t="n">
        <f aca="false">'Previziune profit'!J10</f>
        <v>4927.26767606071</v>
      </c>
      <c r="K13" s="17" t="n">
        <f aca="false">'Previziune profit'!K10</f>
        <v>5224.21302958193</v>
      </c>
      <c r="L13" s="17" t="n">
        <f aca="false">'Previziune profit'!L10</f>
        <v>5527.09729017356</v>
      </c>
      <c r="M13" s="17" t="n">
        <f aca="false">'Previziune profit'!M10</f>
        <v>5836.03923597704</v>
      </c>
      <c r="N13" s="20" t="n">
        <f aca="false">SUM(B13:M13)</f>
        <v>50918.0010348287</v>
      </c>
    </row>
    <row r="14" customFormat="false" ht="15" hidden="false" customHeight="false" outlineLevel="0" collapsed="false">
      <c r="A14" s="21" t="s">
        <v>104</v>
      </c>
      <c r="B14" s="17" t="n">
        <f aca="false">Ipoteze!$B$16</f>
        <v>6500</v>
      </c>
      <c r="C14" s="17" t="n">
        <f aca="false">Ipoteze!$B$16</f>
        <v>6500</v>
      </c>
      <c r="D14" s="17" t="n">
        <f aca="false">Ipoteze!$B$16</f>
        <v>6500</v>
      </c>
      <c r="E14" s="17" t="n">
        <f aca="false">Ipoteze!$B$16</f>
        <v>6500</v>
      </c>
      <c r="F14" s="17" t="n">
        <f aca="false">Ipoteze!$B$16</f>
        <v>6500</v>
      </c>
      <c r="G14" s="17" t="n">
        <f aca="false">Ipoteze!$B$16</f>
        <v>6500</v>
      </c>
      <c r="H14" s="17" t="n">
        <f aca="false">Ipoteze!$B$16</f>
        <v>6500</v>
      </c>
      <c r="I14" s="17" t="n">
        <f aca="false">Ipoteze!$B$16</f>
        <v>6500</v>
      </c>
      <c r="J14" s="17" t="n">
        <f aca="false">Ipoteze!$B$16</f>
        <v>6500</v>
      </c>
      <c r="K14" s="17" t="n">
        <f aca="false">Ipoteze!$B$16</f>
        <v>6500</v>
      </c>
      <c r="L14" s="17" t="n">
        <f aca="false">Ipoteze!$B$16</f>
        <v>6500</v>
      </c>
      <c r="M14" s="17" t="n">
        <f aca="false">Ipoteze!$B$16</f>
        <v>6500</v>
      </c>
      <c r="N14" s="20" t="n">
        <f aca="false">SUM(B14:M14)</f>
        <v>78000</v>
      </c>
    </row>
    <row r="15" customFormat="false" ht="15" hidden="false" customHeight="false" outlineLevel="0" collapsed="false">
      <c r="A15" s="21" t="s">
        <v>105</v>
      </c>
      <c r="B15" s="17" t="n">
        <f aca="false">IF(1=Ipoteze!$B$11,Ipoteze!$B$10,0)</f>
        <v>0</v>
      </c>
      <c r="C15" s="17" t="n">
        <f aca="false">IF(2=Ipoteze!$B$11,Ipoteze!$B$10,0)</f>
        <v>0</v>
      </c>
      <c r="D15" s="17" t="n">
        <f aca="false">IF(3=Ipoteze!$B$11,Ipoteze!$B$10,0)</f>
        <v>0</v>
      </c>
      <c r="E15" s="17" t="n">
        <f aca="false">IF(4=Ipoteze!$B$11,Ipoteze!$B$10,0)</f>
        <v>0</v>
      </c>
      <c r="F15" s="17" t="n">
        <f aca="false">IF(5=Ipoteze!$B$11,Ipoteze!$B$10,0)</f>
        <v>40000</v>
      </c>
      <c r="G15" s="17" t="n">
        <f aca="false">IF(6=Ipoteze!$B$11,Ipoteze!$B$10,0)</f>
        <v>0</v>
      </c>
      <c r="H15" s="17" t="n">
        <f aca="false">IF(7=Ipoteze!$B$11,Ipoteze!$B$10,0)</f>
        <v>0</v>
      </c>
      <c r="I15" s="17" t="n">
        <f aca="false">IF(8=Ipoteze!$B$11,Ipoteze!$B$10,0)</f>
        <v>0</v>
      </c>
      <c r="J15" s="17" t="n">
        <f aca="false">IF(9=Ipoteze!$B$11,Ipoteze!$B$10,0)</f>
        <v>0</v>
      </c>
      <c r="K15" s="17" t="n">
        <f aca="false">IF(10=Ipoteze!$B$11,Ipoteze!$B$10,0)</f>
        <v>0</v>
      </c>
      <c r="L15" s="17" t="n">
        <f aca="false">IF(11=Ipoteze!$B$11,Ipoteze!$B$10,0)</f>
        <v>0</v>
      </c>
      <c r="M15" s="17" t="n">
        <f aca="false">IF(12=Ipoteze!$B$11,Ipoteze!$B$10,0)</f>
        <v>0</v>
      </c>
      <c r="N15" s="20" t="n">
        <f aca="false">SUM(B15:M15)</f>
        <v>40000</v>
      </c>
    </row>
    <row r="16" customFormat="false" ht="15" hidden="false" customHeight="false" outlineLevel="0" collapsed="false">
      <c r="A16" s="22" t="s">
        <v>106</v>
      </c>
      <c r="B16" s="20" t="n">
        <f aca="false">SUM(B9:B15)</f>
        <v>191252</v>
      </c>
      <c r="C16" s="20" t="n">
        <f aca="false">SUM(C9:C15)</f>
        <v>210105.44</v>
      </c>
      <c r="D16" s="20" t="n">
        <f aca="false">SUM(D9:D15)</f>
        <v>213135.9488</v>
      </c>
      <c r="E16" s="20" t="n">
        <f aca="false">SUM(E9:E15)</f>
        <v>216227.067776</v>
      </c>
      <c r="F16" s="20" t="n">
        <f aca="false">SUM(F9:F15)</f>
        <v>259380.00913152</v>
      </c>
      <c r="G16" s="20" t="n">
        <f aca="false">SUM(G9:G15)</f>
        <v>222596.00931415</v>
      </c>
      <c r="H16" s="20" t="n">
        <f aca="false">SUM(H9:H15)</f>
        <v>225876.329500433</v>
      </c>
      <c r="I16" s="20" t="n">
        <f aca="false">SUM(I9:I15)</f>
        <v>229222.256090442</v>
      </c>
      <c r="J16" s="20" t="n">
        <f aca="false">SUM(J9:J15)</f>
        <v>232635.101212251</v>
      </c>
      <c r="K16" s="20" t="n">
        <f aca="false">SUM(K9:K15)</f>
        <v>236116.203236496</v>
      </c>
      <c r="L16" s="20" t="n">
        <f aca="false">SUM(L9:L15)</f>
        <v>239666.927301226</v>
      </c>
      <c r="M16" s="20" t="n">
        <f aca="false">SUM(M9:M15)</f>
        <v>243288.66584725</v>
      </c>
      <c r="N16" s="20" t="n">
        <f aca="false">SUM(B16:M16)</f>
        <v>2719501.95820977</v>
      </c>
    </row>
    <row r="17" customFormat="false" ht="15" hidden="false" customHeight="false" outlineLevel="0" collapsed="false">
      <c r="A17" s="18" t="s">
        <v>107</v>
      </c>
      <c r="B17" s="19" t="n">
        <f aca="false">B8-B16</f>
        <v>-1252</v>
      </c>
      <c r="C17" s="19" t="n">
        <f aca="false">C8-C16</f>
        <v>-20105.44</v>
      </c>
      <c r="D17" s="19" t="n">
        <f aca="false">D8-D16</f>
        <v>4664.05119999999</v>
      </c>
      <c r="E17" s="19" t="n">
        <f aca="false">E8-E16</f>
        <v>5928.93222399999</v>
      </c>
      <c r="F17" s="19" t="n">
        <f aca="false">F8-F16</f>
        <v>-32780.88913152</v>
      </c>
      <c r="G17" s="19" t="n">
        <f aca="false">G8-G16</f>
        <v>8535.0930858496</v>
      </c>
      <c r="H17" s="19" t="n">
        <f aca="false">H8-H16</f>
        <v>9877.39494756659</v>
      </c>
      <c r="I17" s="19" t="n">
        <f aca="false">I8-I16</f>
        <v>11246.5428465179</v>
      </c>
      <c r="J17" s="19" t="n">
        <f aca="false">J8-J16</f>
        <v>12643.0737034483</v>
      </c>
      <c r="K17" s="19" t="n">
        <f aca="false">K8-K16</f>
        <v>14067.5351775172</v>
      </c>
      <c r="L17" s="19" t="n">
        <f aca="false">L8-L16</f>
        <v>15520.4858810676</v>
      </c>
      <c r="M17" s="19" t="n">
        <f aca="false">M8-M16</f>
        <v>17002.495598689</v>
      </c>
      <c r="N17" s="20" t="n">
        <f aca="false">SUM(B17:M17)</f>
        <v>45347.2755331361</v>
      </c>
    </row>
    <row r="18" customFormat="false" ht="15" hidden="false" customHeight="false" outlineLevel="0" collapsed="false">
      <c r="A18" s="23" t="s">
        <v>108</v>
      </c>
      <c r="B18" s="24" t="n">
        <f aca="false">B5+B17</f>
        <v>83748</v>
      </c>
      <c r="C18" s="24" t="n">
        <f aca="false">C5+C17</f>
        <v>63642.56</v>
      </c>
      <c r="D18" s="24" t="n">
        <f aca="false">D5+D17</f>
        <v>68306.6112</v>
      </c>
      <c r="E18" s="24" t="n">
        <f aca="false">E5+E17</f>
        <v>74235.543424</v>
      </c>
      <c r="F18" s="24" t="n">
        <f aca="false">F5+F17</f>
        <v>41454.65429248</v>
      </c>
      <c r="G18" s="24" t="n">
        <f aca="false">G5+G17</f>
        <v>49989.7473783296</v>
      </c>
      <c r="H18" s="24" t="n">
        <f aca="false">H5+H17</f>
        <v>59867.1423258962</v>
      </c>
      <c r="I18" s="24" t="n">
        <f aca="false">I5+I17</f>
        <v>71113.6851724141</v>
      </c>
      <c r="J18" s="24" t="n">
        <f aca="false">J5+J17</f>
        <v>83756.7588758623</v>
      </c>
      <c r="K18" s="24" t="n">
        <f aca="false">K5+K17</f>
        <v>97824.2940533795</v>
      </c>
      <c r="L18" s="24" t="n">
        <f aca="false">L5+L17</f>
        <v>113344.779934447</v>
      </c>
      <c r="M18" s="24" t="n">
        <f aca="false">M5+M17</f>
        <v>130347.275533136</v>
      </c>
      <c r="N18" s="20" t="n">
        <f aca="false">M18</f>
        <v>130347.275533136</v>
      </c>
    </row>
    <row r="19" customFormat="false" ht="15" hidden="false" customHeight="false" outlineLevel="0" collapsed="false">
      <c r="A19" s="21" t="s">
        <v>109</v>
      </c>
      <c r="B19" s="17" t="n">
        <f aca="false">IF(B18&lt;0,-B18,0)</f>
        <v>0</v>
      </c>
      <c r="C19" s="17" t="n">
        <f aca="false">IF(C18&lt;0,-C18,0)</f>
        <v>0</v>
      </c>
      <c r="D19" s="17" t="n">
        <f aca="false">IF(D18&lt;0,-D18,0)</f>
        <v>0</v>
      </c>
      <c r="E19" s="17" t="n">
        <f aca="false">IF(E18&lt;0,-E18,0)</f>
        <v>0</v>
      </c>
      <c r="F19" s="17" t="n">
        <f aca="false">IF(F18&lt;0,-F18,0)</f>
        <v>0</v>
      </c>
      <c r="G19" s="17" t="n">
        <f aca="false">IF(G18&lt;0,-G18,0)</f>
        <v>0</v>
      </c>
      <c r="H19" s="17" t="n">
        <f aca="false">IF(H18&lt;0,-H18,0)</f>
        <v>0</v>
      </c>
      <c r="I19" s="17" t="n">
        <f aca="false">IF(I18&lt;0,-I18,0)</f>
        <v>0</v>
      </c>
      <c r="J19" s="17" t="n">
        <f aca="false">IF(J18&lt;0,-J18,0)</f>
        <v>0</v>
      </c>
      <c r="K19" s="17" t="n">
        <f aca="false">IF(K18&lt;0,-K18,0)</f>
        <v>0</v>
      </c>
      <c r="L19" s="17" t="n">
        <f aca="false">IF(L18&lt;0,-L18,0)</f>
        <v>0</v>
      </c>
      <c r="M19" s="17" t="n">
        <f aca="false">IF(M18&lt;0,-M18,0)</f>
        <v>0</v>
      </c>
      <c r="N19" s="20" t="n">
        <f aca="false">MAX(B19:M19)</f>
        <v>0</v>
      </c>
    </row>
    <row r="21" customFormat="false" ht="19.5" hidden="false" customHeight="true" outlineLevel="0" collapsed="false">
      <c r="A21" s="30" t="s">
        <v>110</v>
      </c>
      <c r="B21" s="30"/>
      <c r="C21" s="30"/>
      <c r="D21" s="30"/>
    </row>
    <row r="22" customFormat="false" ht="15" hidden="false" customHeight="false" outlineLevel="0" collapsed="false">
      <c r="A22" s="31" t="s">
        <v>111</v>
      </c>
      <c r="B22" s="19" t="n">
        <f aca="false">MIN(B18:M18)</f>
        <v>41454.65429248</v>
      </c>
    </row>
    <row r="23" customFormat="false" ht="15" hidden="false" customHeight="false" outlineLevel="0" collapsed="false">
      <c r="A23" s="31" t="s">
        <v>112</v>
      </c>
      <c r="B23" s="32" t="str">
        <f aca="false">IFERROR(INDEX($B$4:$M$4,MATCH(MIN($B$18:$M$18),$B$18:$M$18,0)),"")</f>
        <v>Mai</v>
      </c>
    </row>
    <row r="24" customFormat="false" ht="15" hidden="false" customHeight="false" outlineLevel="0" collapsed="false">
      <c r="A24" s="31" t="s">
        <v>113</v>
      </c>
      <c r="B24" s="19" t="n">
        <f aca="false">MAX(B19:M19)</f>
        <v>0</v>
      </c>
    </row>
    <row r="25" customFormat="false" ht="15" hidden="false" customHeight="false" outlineLevel="0" collapsed="false">
      <c r="A25" s="31" t="s">
        <v>114</v>
      </c>
      <c r="B25" s="19" t="n">
        <f aca="false">COUNTIF(B18:M18,"&lt;0")</f>
        <v>0</v>
      </c>
    </row>
    <row r="26" customFormat="false" ht="15" hidden="false" customHeight="false" outlineLevel="0" collapsed="false">
      <c r="A26" s="31" t="s">
        <v>115</v>
      </c>
      <c r="B26" s="19" t="n">
        <f aca="false">'Previziune profit'!N11</f>
        <v>267319.505432851</v>
      </c>
    </row>
    <row r="27" customFormat="false" ht="15" hidden="false" customHeight="false" outlineLevel="0" collapsed="false">
      <c r="A27" s="33" t="str">
        <f aca="false">IF(COUNTIF(B18:M18,"&lt;0")=0,"Planul se sustine singur: nu ai nevoie de finantare suplimentara in acest an.","ATENTIE: in unele luni ramai fara bani. Discuta finantarea acum, nu cu doua saptamani inainte.")</f>
        <v>Planul se sustine singur: nu ai nevoie de finantare suplimentara in acest an.</v>
      </c>
    </row>
    <row r="29" customFormat="false" ht="15" hidden="false" customHeight="false" outlineLevel="0" collapsed="false">
      <c r="A29" s="27" t="s">
        <v>116</v>
      </c>
    </row>
  </sheetData>
  <conditionalFormatting sqref="B18:M18">
    <cfRule type="cellIs" priority="2" operator="lessThan" aboveAverage="0" equalAverage="0" bottom="0" percent="0" rank="0" text="" dxfId="1">
      <formula>0</formula>
    </cfRule>
  </conditionalFormatting>
  <conditionalFormatting sqref="B19:M19">
    <cfRule type="cellIs" priority="3" operator="greaterThan" aboveAverage="0" equalAverage="0" bottom="0" percent="0" rank="0" text="" dxfId="2">
      <formula>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20"/>
    <col collapsed="false" customWidth="true" hidden="false" outlineLevel="0" max="3" min="3" style="1" width="22"/>
    <col collapsed="false" customWidth="true" hidden="false" outlineLevel="0" max="4" min="4" style="1" width="24"/>
    <col collapsed="false" customWidth="true" hidden="false" outlineLevel="0" max="5" min="5" style="1" width="26"/>
  </cols>
  <sheetData>
    <row r="1" customFormat="false" ht="25.5" hidden="false" customHeight="true" outlineLevel="0" collapsed="false">
      <c r="A1" s="8" t="s">
        <v>117</v>
      </c>
    </row>
    <row r="2" customFormat="false" ht="15.75" hidden="false" customHeight="true" outlineLevel="0" collapsed="false">
      <c r="A2" s="9" t="s">
        <v>118</v>
      </c>
    </row>
    <row r="4" customFormat="false" ht="30" hidden="false" customHeight="true" outlineLevel="0" collapsed="false">
      <c r="A4" s="10" t="s">
        <v>119</v>
      </c>
      <c r="B4" s="11" t="s">
        <v>120</v>
      </c>
      <c r="C4" s="11" t="s">
        <v>121</v>
      </c>
      <c r="D4" s="11" t="s">
        <v>122</v>
      </c>
      <c r="E4" s="11" t="s">
        <v>123</v>
      </c>
    </row>
    <row r="5" customFormat="false" ht="15" hidden="false" customHeight="false" outlineLevel="0" collapsed="false">
      <c r="A5" s="31" t="s">
        <v>124</v>
      </c>
      <c r="B5" s="15" t="n">
        <v>0.8</v>
      </c>
      <c r="C5" s="13" t="n">
        <v>0</v>
      </c>
      <c r="D5" s="13" t="n">
        <v>0</v>
      </c>
      <c r="E5" s="13" t="n">
        <v>0</v>
      </c>
    </row>
    <row r="6" customFormat="false" ht="15" hidden="false" customHeight="false" outlineLevel="0" collapsed="false">
      <c r="A6" s="31" t="s">
        <v>125</v>
      </c>
      <c r="B6" s="15" t="n">
        <v>1</v>
      </c>
      <c r="C6" s="13" t="n">
        <v>0</v>
      </c>
      <c r="D6" s="13" t="n">
        <v>0</v>
      </c>
      <c r="E6" s="13" t="n">
        <v>0</v>
      </c>
    </row>
    <row r="7" customFormat="false" ht="15" hidden="false" customHeight="false" outlineLevel="0" collapsed="false">
      <c r="A7" s="31" t="s">
        <v>126</v>
      </c>
      <c r="B7" s="15" t="n">
        <v>1.15</v>
      </c>
      <c r="C7" s="13" t="n">
        <v>0</v>
      </c>
      <c r="D7" s="13" t="n">
        <v>0</v>
      </c>
      <c r="E7" s="13" t="n">
        <v>0</v>
      </c>
    </row>
    <row r="9" customFormat="false" ht="15" hidden="false" customHeight="false" outlineLevel="0" collapsed="false">
      <c r="A9" s="16" t="s">
        <v>127</v>
      </c>
    </row>
    <row r="10" customFormat="false" ht="15" hidden="false" customHeight="false" outlineLevel="0" collapsed="false">
      <c r="A10" s="27" t="s">
        <v>128</v>
      </c>
    </row>
    <row r="11" customFormat="false" ht="15" hidden="false" customHeight="false" outlineLevel="0" collapsed="false">
      <c r="A11" s="27" t="s">
        <v>129</v>
      </c>
    </row>
    <row r="12" customFormat="false" ht="15" hidden="false" customHeight="false" outlineLevel="0" collapsed="false">
      <c r="A12" s="27" t="s">
        <v>130</v>
      </c>
    </row>
    <row r="13" customFormat="false" ht="15" hidden="false" customHeight="false" outlineLevel="0" collapsed="false">
      <c r="A13" s="27" t="s">
        <v>131</v>
      </c>
    </row>
    <row r="15" customFormat="false" ht="15" hidden="false" customHeight="false" outlineLevel="0" collapsed="false">
      <c r="A15" s="16" t="s">
        <v>132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2026-07-31T14:19:37Z</dcterms:created>
  <dc:creator>openpyxl</dc:creator>
  <dc:description/>
  <dc:language>en-US</dc:language>
  <cp:lastModifiedBy/>
  <dcterms:modified xsi:type="dcterms:W3CDTF">2026-07-31T14:20:31Z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